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omments1.xml" ContentType="application/vnd.openxmlformats-officedocument.spreadsheetml.comments+xml"/>
  <Override PartName="/xl/threadedComments/threadedComment1.xml" ContentType="application/vnd.ms-excel.threadedcomments+xml"/>
  <Override PartName="/xl/documenttasks/documenttask1.xml" ContentType="application/vnd.ms-excel.documenttasks+xml"/>
  <Override PartName="/xl/comments2.xml" ContentType="application/vnd.openxmlformats-officedocument.spreadsheetml.comments+xml"/>
  <Override PartName="/xl/drawings/drawing5.xml" ContentType="application/vnd.openxmlformats-officedocument.drawing+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threadedComments/threadedComment2.xml" ContentType="application/vnd.ms-excel.threadedcomments+xml"/>
  <Override PartName="/xl/comments6.xml" ContentType="application/vnd.openxmlformats-officedocument.spreadsheetml.comments+xml"/>
  <Override PartName="/xl/drawings/drawing6.xml" ContentType="application/vnd.openxmlformats-officedocument.drawing+xml"/>
  <Override PartName="/xl/comments7.xml" ContentType="application/vnd.openxmlformats-officedocument.spreadsheetml.comments+xml"/>
  <Override PartName="/xl/comments8.xml" ContentType="application/vnd.openxmlformats-officedocument.spreadsheetml.comments+xml"/>
  <Override PartName="/xl/comments9.xml" ContentType="application/vnd.openxmlformats-officedocument.spreadsheetml.comments+xml"/>
  <Override PartName="/xl/comments10.xml" ContentType="application/vnd.openxmlformats-officedocument.spreadsheetml.comments+xml"/>
  <Override PartName="/xl/drawings/drawing7.xml" ContentType="application/vnd.openxmlformats-officedocument.drawing+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601"/>
  <workbookPr updateLinks="never" codeName="ThisWorkbook" defaultThemeVersion="166925"/>
  <mc:AlternateContent xmlns:mc="http://schemas.openxmlformats.org/markup-compatibility/2006">
    <mc:Choice Requires="x15">
      <x15ac:absPath xmlns:x15ac="http://schemas.microsoft.com/office/spreadsheetml/2010/11/ac" url="C:\Users\34086\Desktop\"/>
    </mc:Choice>
  </mc:AlternateContent>
  <xr:revisionPtr revIDLastSave="0" documentId="13_ncr:1_{57536628-F33D-4B85-9198-C980B00D6BF0}" xr6:coauthVersionLast="47" xr6:coauthVersionMax="47" xr10:uidLastSave="{00000000-0000-0000-0000-000000000000}"/>
  <bookViews>
    <workbookView xWindow="-120" yWindow="-120" windowWidth="29040" windowHeight="15720" tabRatio="558" activeTab="1" xr2:uid="{22C52C35-25DC-4B8A-B2F4-8EDD3258FCFD}"/>
  </bookViews>
  <sheets>
    <sheet name="1. INTRODUCTION" sheetId="8" r:id="rId1"/>
    <sheet name="2. VOS DONNEES" sheetId="5" r:id="rId2"/>
    <sheet name="3. VOS RESULTATS" sheetId="4" r:id="rId3"/>
    <sheet name="BIO" sheetId="32" state="hidden" r:id="rId4"/>
    <sheet name="Feuil1" sheetId="33" state="hidden" r:id="rId5"/>
    <sheet name="4. Code-Culture" sheetId="20" state="hidden" r:id="rId6"/>
    <sheet name="Référentiel_menu_déroulant" sheetId="17" state="hidden" r:id="rId7"/>
    <sheet name="CALCUL - ABR-AR-AJA" sheetId="24" state="hidden" r:id="rId8"/>
    <sheet name="CALCUL IZCS et IZCN" sheetId="29" state="hidden" r:id="rId9"/>
    <sheet name="CALCUL - SC" sheetId="23" state="hidden" r:id="rId10"/>
    <sheet name="CALCUL - SCP" sheetId="19" state="hidden" r:id="rId11"/>
    <sheet name="CALCUL - BCAE8" sheetId="2" state="hidden" r:id="rId12"/>
    <sheet name="CALCUL - ER ME" sheetId="3" state="hidden" r:id="rId13"/>
    <sheet name="CALCUL - ER CLS" sheetId="15" state="hidden" r:id="rId14"/>
    <sheet name="CALCUL - ER CFE" sheetId="12" state="hidden" r:id="rId15"/>
    <sheet name="CALCUL - ER PP" sheetId="10" state="hidden" r:id="rId16"/>
    <sheet name="CALCUL - MAEC AF" sheetId="11" state="hidden" r:id="rId17"/>
    <sheet name="CALCUL - MAEC CereP" sheetId="13" state="hidden" r:id="rId18"/>
    <sheet name="CALCUL - MAEC TENHERBEE" sheetId="21" state="hidden" r:id="rId19"/>
    <sheet name="CALCUL - MAEC PARCTOURNAMENAGEE" sheetId="22" state="hidden" r:id="rId20"/>
    <sheet name="CALCUL -  MAEC PHVB" sheetId="25" state="hidden" r:id="rId21"/>
    <sheet name="CALCUL - MAEC PNATURELLES" sheetId="26" state="hidden" r:id="rId22"/>
    <sheet name="CALCUL MAEC SOL" sheetId="27" state="hidden" r:id="rId23"/>
    <sheet name="CALCUL - MAEC RACES" sheetId="31" state="hidden" r:id="rId24"/>
    <sheet name="CALCUL MAEC-PDA" sheetId="30" state="hidden" r:id="rId25"/>
    <sheet name="CALCUL NATURA 2000 - AGRICOLE" sheetId="28" state="hidden" r:id="rId26"/>
  </sheets>
  <definedNames>
    <definedName name="_xlnm._FilterDatabase" localSheetId="3" hidden="1">BIO!$C$91:$E$233</definedName>
    <definedName name="_xlnm._FilterDatabase" localSheetId="6" hidden="1">Référentiel_menu_déroulant!$O$1:$Q$158</definedName>
    <definedName name="Annees">Référentiel_menu_déroulant!$E$8:$E$12</definedName>
    <definedName name="Code_autres">Référentiel_menu_déroulant!$A$16:$A$26</definedName>
    <definedName name="Code_Cereales">Référentiel_menu_déroulant!$C$15:$C$34</definedName>
    <definedName name="Code_CMI">Référentiel_menu_déroulant!$A$9:$A$12</definedName>
    <definedName name="Code_fruit">Référentiel_menu_déroulant!$A$31:$A$32</definedName>
    <definedName name="Code_LegumFourrage">Référentiel_menu_déroulant!$A$2:$A$6</definedName>
    <definedName name="Code_ON">Référentiel_menu_déroulant!$E$2:$E$3</definedName>
    <definedName name="Code_Protea">Référentiel_menu_déroulant!$C$2:$C$12</definedName>
    <definedName name="Code_SNP_TA">Référentiel_menu_déroulant!$G$2:$G$18</definedName>
    <definedName name="Disp_CP">Référentiel_menu_déroulant!$G$33:$G$39</definedName>
    <definedName name="Disp_PP">Référentiel_menu_déroulant!$G$23:$G$30</definedName>
    <definedName name="SNAdmissible">Référentiel_menu_déroulant!$J$2:$J$95</definedName>
    <definedName name="_xlnm.Print_Area" localSheetId="2">'3. VOS RESULTATS'!$A$1:$H$292</definedName>
    <definedName name="_xlnm.Print_Area" localSheetId="6">Référentiel_menu_déroulant!$A$1:$I$62</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3" i="15" l="1"/>
  <c r="B75" i="3"/>
  <c r="D237" i="4" s="1"/>
  <c r="I34" i="24"/>
  <c r="F196" i="4"/>
  <c r="F125" i="4"/>
  <c r="G87" i="4"/>
  <c r="R111" i="23"/>
  <c r="T111" i="23" s="1"/>
  <c r="N111" i="23" s="1"/>
  <c r="R110" i="23"/>
  <c r="T110" i="23" s="1"/>
  <c r="N110" i="23" s="1"/>
  <c r="R109" i="23"/>
  <c r="T109" i="23" s="1"/>
  <c r="N109" i="23" s="1"/>
  <c r="R108" i="23"/>
  <c r="T108" i="23" s="1"/>
  <c r="N108" i="23" s="1"/>
  <c r="R107" i="23"/>
  <c r="T107" i="23" s="1"/>
  <c r="N107" i="23" s="1"/>
  <c r="R106" i="23"/>
  <c r="T106" i="23" s="1"/>
  <c r="N106" i="23" s="1"/>
  <c r="R105" i="23"/>
  <c r="T105" i="23" s="1"/>
  <c r="N105" i="23" s="1"/>
  <c r="R104" i="23"/>
  <c r="T104" i="23" s="1"/>
  <c r="N104" i="23" s="1"/>
  <c r="N113" i="23" l="1"/>
  <c r="E324" i="5" l="1"/>
  <c r="E291" i="5"/>
  <c r="D8" i="26"/>
  <c r="D7" i="26"/>
  <c r="C286" i="4"/>
  <c r="C287" i="4"/>
  <c r="E13" i="32"/>
  <c r="E240" i="32" s="1"/>
  <c r="E14" i="32"/>
  <c r="E241" i="32" s="1"/>
  <c r="E15" i="32"/>
  <c r="E16" i="32"/>
  <c r="E243" i="32" s="1"/>
  <c r="E12" i="32"/>
  <c r="E239" i="32" s="1"/>
  <c r="B313" i="5"/>
  <c r="B311" i="5"/>
  <c r="B312" i="5"/>
  <c r="B310" i="5"/>
  <c r="D9" i="32"/>
  <c r="D8" i="32"/>
  <c r="D7" i="32"/>
  <c r="D6" i="32"/>
  <c r="D5" i="32"/>
  <c r="Q246" i="32"/>
  <c r="Q247" i="32"/>
  <c r="Q245" i="32"/>
  <c r="E242" i="32"/>
  <c r="E248" i="32" s="1"/>
  <c r="Q249" i="32"/>
  <c r="R249" i="32"/>
  <c r="P249" i="32"/>
  <c r="R246" i="32"/>
  <c r="R247" i="32"/>
  <c r="R245" i="32"/>
  <c r="E235" i="32" a="1"/>
  <c r="E235" i="32" s="1"/>
  <c r="E93" i="32"/>
  <c r="E94" i="32"/>
  <c r="E95" i="32"/>
  <c r="E96" i="32"/>
  <c r="E97" i="32"/>
  <c r="E98" i="32"/>
  <c r="E99" i="32"/>
  <c r="E100" i="32"/>
  <c r="E101" i="32"/>
  <c r="E102" i="32"/>
  <c r="E103" i="32"/>
  <c r="E104" i="32"/>
  <c r="E105" i="32"/>
  <c r="E106" i="32"/>
  <c r="E107" i="32"/>
  <c r="E108" i="32"/>
  <c r="E109" i="32"/>
  <c r="E110" i="32"/>
  <c r="E111" i="32"/>
  <c r="E112" i="32"/>
  <c r="E113" i="32"/>
  <c r="E114" i="32"/>
  <c r="E115" i="32"/>
  <c r="E116" i="32"/>
  <c r="E117" i="32"/>
  <c r="E118" i="32"/>
  <c r="E119" i="32"/>
  <c r="E120" i="32"/>
  <c r="E121" i="32"/>
  <c r="E122" i="32"/>
  <c r="E123" i="32"/>
  <c r="E124" i="32"/>
  <c r="E125" i="32"/>
  <c r="E126" i="32"/>
  <c r="E127" i="32"/>
  <c r="E128" i="32"/>
  <c r="E129" i="32"/>
  <c r="E130" i="32"/>
  <c r="E131" i="32"/>
  <c r="E132" i="32"/>
  <c r="E133" i="32"/>
  <c r="E134" i="32"/>
  <c r="E135" i="32"/>
  <c r="E136" i="32"/>
  <c r="E137" i="32"/>
  <c r="E138" i="32"/>
  <c r="E139" i="32"/>
  <c r="E140" i="32"/>
  <c r="E141" i="32"/>
  <c r="E142" i="32"/>
  <c r="E143" i="32"/>
  <c r="E144" i="32"/>
  <c r="E145" i="32"/>
  <c r="E146" i="32"/>
  <c r="E147" i="32"/>
  <c r="E148" i="32"/>
  <c r="E149" i="32"/>
  <c r="E150" i="32"/>
  <c r="E151" i="32"/>
  <c r="E152" i="32"/>
  <c r="E153" i="32"/>
  <c r="E154" i="32"/>
  <c r="E155" i="32"/>
  <c r="E156" i="32"/>
  <c r="E157" i="32"/>
  <c r="E158" i="32"/>
  <c r="E159" i="32"/>
  <c r="E160" i="32"/>
  <c r="E161" i="32"/>
  <c r="E162" i="32"/>
  <c r="E163" i="32"/>
  <c r="E164" i="32"/>
  <c r="E165" i="32"/>
  <c r="E166" i="32"/>
  <c r="E167" i="32"/>
  <c r="E168" i="32"/>
  <c r="E169" i="32"/>
  <c r="E170" i="32"/>
  <c r="E171" i="32"/>
  <c r="E172" i="32"/>
  <c r="E173" i="32"/>
  <c r="E174" i="32"/>
  <c r="E175" i="32"/>
  <c r="E176" i="32"/>
  <c r="E177" i="32"/>
  <c r="E178" i="32"/>
  <c r="E179" i="32"/>
  <c r="E180" i="32"/>
  <c r="E181" i="32"/>
  <c r="E182" i="32"/>
  <c r="E183" i="32"/>
  <c r="E184" i="32"/>
  <c r="E185" i="32"/>
  <c r="E186" i="32"/>
  <c r="E187" i="32"/>
  <c r="E188" i="32"/>
  <c r="E189" i="32"/>
  <c r="E190" i="32"/>
  <c r="E191" i="32"/>
  <c r="E192" i="32"/>
  <c r="E193" i="32"/>
  <c r="E194" i="32"/>
  <c r="E195" i="32"/>
  <c r="E196" i="32"/>
  <c r="E197" i="32"/>
  <c r="E198" i="32"/>
  <c r="E199" i="32"/>
  <c r="E200" i="32"/>
  <c r="E201" i="32"/>
  <c r="E202" i="32"/>
  <c r="E203" i="32"/>
  <c r="E204" i="32"/>
  <c r="E205" i="32"/>
  <c r="E206" i="32"/>
  <c r="E207" i="32"/>
  <c r="E208" i="32"/>
  <c r="E209" i="32"/>
  <c r="E210" i="32"/>
  <c r="E211" i="32"/>
  <c r="E212" i="32"/>
  <c r="E213" i="32"/>
  <c r="E214" i="32"/>
  <c r="E215" i="32"/>
  <c r="E216" i="32"/>
  <c r="E217" i="32"/>
  <c r="E218" i="32"/>
  <c r="E219" i="32"/>
  <c r="E220" i="32"/>
  <c r="E221" i="32"/>
  <c r="E222" i="32"/>
  <c r="E223" i="32"/>
  <c r="E224" i="32"/>
  <c r="E225" i="32"/>
  <c r="E226" i="32"/>
  <c r="E227" i="32"/>
  <c r="E228" i="32"/>
  <c r="E229" i="32"/>
  <c r="E230" i="32"/>
  <c r="E231" i="32"/>
  <c r="E232" i="32"/>
  <c r="E233" i="32"/>
  <c r="E92" i="32"/>
  <c r="E10" i="5"/>
  <c r="J86" i="17"/>
  <c r="J87" i="17"/>
  <c r="J88" i="17"/>
  <c r="J89" i="17"/>
  <c r="J90" i="17"/>
  <c r="J91" i="17"/>
  <c r="J92" i="17"/>
  <c r="J93" i="17"/>
  <c r="J94" i="17"/>
  <c r="J95" i="17"/>
  <c r="J2" i="17"/>
  <c r="J3" i="17"/>
  <c r="J4" i="17"/>
  <c r="J5" i="17"/>
  <c r="J6" i="17"/>
  <c r="J7" i="17"/>
  <c r="J8" i="17"/>
  <c r="J9" i="17"/>
  <c r="J10" i="17"/>
  <c r="J11" i="17"/>
  <c r="J12" i="17"/>
  <c r="J13" i="17"/>
  <c r="J14" i="17"/>
  <c r="J15" i="17"/>
  <c r="J16" i="17"/>
  <c r="J17" i="17"/>
  <c r="J18" i="17"/>
  <c r="J19" i="17"/>
  <c r="J20" i="17"/>
  <c r="J21" i="17"/>
  <c r="J22" i="17"/>
  <c r="J23" i="17"/>
  <c r="J24" i="17"/>
  <c r="J25" i="17"/>
  <c r="J26" i="17"/>
  <c r="J27" i="17"/>
  <c r="J28" i="17"/>
  <c r="J29" i="17"/>
  <c r="J30" i="17"/>
  <c r="J31" i="17"/>
  <c r="J32" i="17"/>
  <c r="J33" i="17"/>
  <c r="J34" i="17"/>
  <c r="J35" i="17"/>
  <c r="J36" i="17"/>
  <c r="J37" i="17"/>
  <c r="J38" i="17"/>
  <c r="J39" i="17"/>
  <c r="J40" i="17"/>
  <c r="J41" i="17"/>
  <c r="J42" i="17"/>
  <c r="J43" i="17"/>
  <c r="J44" i="17"/>
  <c r="J45" i="17"/>
  <c r="J46" i="17"/>
  <c r="J47" i="17"/>
  <c r="J48" i="17"/>
  <c r="J49" i="17"/>
  <c r="J50" i="17"/>
  <c r="J51" i="17"/>
  <c r="J52" i="17"/>
  <c r="J53" i="17"/>
  <c r="J54" i="17"/>
  <c r="J55" i="17"/>
  <c r="J56" i="17"/>
  <c r="J57" i="17"/>
  <c r="J58" i="17"/>
  <c r="J59" i="17"/>
  <c r="J60" i="17"/>
  <c r="J61" i="17"/>
  <c r="J62" i="17"/>
  <c r="J63" i="17"/>
  <c r="J64" i="17"/>
  <c r="J65" i="17"/>
  <c r="J66" i="17"/>
  <c r="J67" i="17"/>
  <c r="J68" i="17"/>
  <c r="J69" i="17"/>
  <c r="J70" i="17"/>
  <c r="J71" i="17"/>
  <c r="J72" i="17"/>
  <c r="J73" i="17"/>
  <c r="J74" i="17"/>
  <c r="J75" i="17"/>
  <c r="J76" i="17"/>
  <c r="J77" i="17"/>
  <c r="J78" i="17"/>
  <c r="J79" i="17"/>
  <c r="J80" i="17"/>
  <c r="J81" i="17"/>
  <c r="J82" i="17"/>
  <c r="J83" i="17"/>
  <c r="J84" i="17"/>
  <c r="J85" i="17"/>
  <c r="D242" i="32" l="1"/>
  <c r="D241" i="32"/>
  <c r="D243" i="32"/>
  <c r="D266" i="32" s="1"/>
  <c r="D267" i="32" s="1"/>
  <c r="D240" i="32"/>
  <c r="E247" i="32"/>
  <c r="B314" i="5"/>
  <c r="E246" i="32"/>
  <c r="D86" i="32"/>
  <c r="D83" i="32"/>
  <c r="D84" i="32"/>
  <c r="D85" i="32"/>
  <c r="D82" i="32"/>
  <c r="I73" i="32"/>
  <c r="K73" i="32" s="1"/>
  <c r="D73" i="32" s="1"/>
  <c r="I72" i="32"/>
  <c r="K72" i="32" s="1"/>
  <c r="D72" i="32" s="1"/>
  <c r="I71" i="32"/>
  <c r="K71" i="32" s="1"/>
  <c r="D71" i="32" s="1"/>
  <c r="I70" i="32"/>
  <c r="K70" i="32" s="1"/>
  <c r="D70" i="32" s="1"/>
  <c r="I69" i="32"/>
  <c r="K69" i="32" s="1"/>
  <c r="D69" i="32" s="1"/>
  <c r="I68" i="32"/>
  <c r="K68" i="32" s="1"/>
  <c r="D68" i="32" s="1"/>
  <c r="I67" i="32"/>
  <c r="K67" i="32" s="1"/>
  <c r="D67" i="32" s="1"/>
  <c r="I66" i="32"/>
  <c r="K66" i="32" s="1"/>
  <c r="D25" i="32"/>
  <c r="D26" i="32"/>
  <c r="D27" i="32"/>
  <c r="X243" i="32" s="1"/>
  <c r="D28" i="32"/>
  <c r="D24" i="32"/>
  <c r="E302" i="5"/>
  <c r="E303" i="5" s="1"/>
  <c r="C7" i="29" s="1"/>
  <c r="D261" i="4" s="1"/>
  <c r="A23" i="5"/>
  <c r="B23" i="5"/>
  <c r="F4" i="20"/>
  <c r="F5" i="20"/>
  <c r="F6" i="20"/>
  <c r="F7" i="20"/>
  <c r="F8" i="20"/>
  <c r="F9" i="20"/>
  <c r="F10" i="20"/>
  <c r="F11" i="20"/>
  <c r="F12" i="20"/>
  <c r="F13" i="20"/>
  <c r="F14" i="20"/>
  <c r="F15" i="20"/>
  <c r="F16" i="20"/>
  <c r="F17" i="20"/>
  <c r="F18" i="20"/>
  <c r="F19" i="20"/>
  <c r="F20" i="20"/>
  <c r="F21" i="20"/>
  <c r="F22" i="20"/>
  <c r="F23" i="20"/>
  <c r="F24" i="20"/>
  <c r="F25" i="20"/>
  <c r="F26" i="20"/>
  <c r="F27" i="20"/>
  <c r="F28" i="20"/>
  <c r="F29" i="20"/>
  <c r="F30" i="20"/>
  <c r="F31" i="20"/>
  <c r="F32" i="20"/>
  <c r="F33" i="20"/>
  <c r="F34" i="20"/>
  <c r="F35" i="20"/>
  <c r="F36" i="20"/>
  <c r="F37" i="20"/>
  <c r="F38" i="20"/>
  <c r="F39" i="20"/>
  <c r="F40" i="20"/>
  <c r="F41" i="20"/>
  <c r="F42" i="20"/>
  <c r="F43" i="20"/>
  <c r="F44" i="20"/>
  <c r="F45" i="20"/>
  <c r="F46" i="20"/>
  <c r="F47" i="20"/>
  <c r="F48" i="20"/>
  <c r="F49" i="20"/>
  <c r="F50" i="20"/>
  <c r="F51" i="20"/>
  <c r="F52" i="20"/>
  <c r="F53" i="20"/>
  <c r="F54" i="20"/>
  <c r="F55" i="20"/>
  <c r="F56" i="20"/>
  <c r="F57" i="20"/>
  <c r="F58" i="20"/>
  <c r="F59" i="20"/>
  <c r="F60" i="20"/>
  <c r="F61" i="20"/>
  <c r="F62" i="20"/>
  <c r="F63" i="20"/>
  <c r="F64" i="20"/>
  <c r="F65" i="20"/>
  <c r="F66" i="20"/>
  <c r="F67" i="20"/>
  <c r="F68" i="20"/>
  <c r="F69" i="20"/>
  <c r="F70" i="20"/>
  <c r="F71" i="20"/>
  <c r="F72" i="20"/>
  <c r="F73" i="20"/>
  <c r="F3" i="20"/>
  <c r="C77" i="2"/>
  <c r="D77" i="2" s="1"/>
  <c r="D178" i="4"/>
  <c r="B5" i="31"/>
  <c r="B4" i="31"/>
  <c r="B9" i="31" s="1"/>
  <c r="B1" i="30"/>
  <c r="B3" i="12"/>
  <c r="D154" i="4"/>
  <c r="D164" i="4" s="1"/>
  <c r="D266" i="4"/>
  <c r="C4" i="29"/>
  <c r="C11" i="29" s="1"/>
  <c r="C5" i="29"/>
  <c r="C26" i="29"/>
  <c r="C23" i="29"/>
  <c r="B23" i="29"/>
  <c r="B24" i="29"/>
  <c r="B25" i="29"/>
  <c r="B26" i="29"/>
  <c r="B27" i="29"/>
  <c r="B28" i="29"/>
  <c r="B22" i="29"/>
  <c r="B6" i="12" l="1"/>
  <c r="B34" i="12"/>
  <c r="D66" i="32"/>
  <c r="D74" i="32"/>
  <c r="D29" i="32"/>
  <c r="F242" i="32"/>
  <c r="F243" i="32"/>
  <c r="D16" i="30"/>
  <c r="B35" i="30"/>
  <c r="F241" i="32"/>
  <c r="F14" i="32" s="1"/>
  <c r="G319" i="5" s="1"/>
  <c r="F240" i="32"/>
  <c r="F246" i="32" s="1"/>
  <c r="D87" i="32"/>
  <c r="D173" i="4"/>
  <c r="B8" i="31"/>
  <c r="D176" i="4" s="1"/>
  <c r="B7" i="31"/>
  <c r="D175" i="4" s="1"/>
  <c r="B3" i="30"/>
  <c r="D260" i="4"/>
  <c r="C6" i="29"/>
  <c r="C12" i="29"/>
  <c r="E156" i="5"/>
  <c r="E158" i="5" s="1"/>
  <c r="E149" i="5"/>
  <c r="E148" i="5" s="1"/>
  <c r="A76" i="5"/>
  <c r="A77" i="5"/>
  <c r="A78" i="5"/>
  <c r="A79" i="5"/>
  <c r="A80" i="5"/>
  <c r="D3" i="28"/>
  <c r="D6" i="28"/>
  <c r="D7" i="28"/>
  <c r="D16" i="28" s="1"/>
  <c r="D8" i="28"/>
  <c r="D9" i="28"/>
  <c r="D5" i="28"/>
  <c r="C20" i="27"/>
  <c r="D156" i="4" s="1"/>
  <c r="C22" i="27"/>
  <c r="D157" i="4" s="1"/>
  <c r="C23" i="27"/>
  <c r="D158" i="4" s="1"/>
  <c r="C24" i="27"/>
  <c r="D159" i="4" s="1"/>
  <c r="C25" i="27"/>
  <c r="D160" i="4" s="1"/>
  <c r="C26" i="27"/>
  <c r="D161" i="4" s="1"/>
  <c r="C27" i="27"/>
  <c r="D162" i="4" s="1"/>
  <c r="E210" i="5"/>
  <c r="E212" i="5" s="1"/>
  <c r="C15" i="27"/>
  <c r="C34" i="27" s="1"/>
  <c r="C16" i="27"/>
  <c r="C49" i="27" s="1"/>
  <c r="C17" i="27"/>
  <c r="C18" i="27"/>
  <c r="C14" i="27"/>
  <c r="C5" i="27"/>
  <c r="C7" i="27"/>
  <c r="C8" i="27"/>
  <c r="C4" i="27"/>
  <c r="N17" i="27"/>
  <c r="O15" i="27"/>
  <c r="N18" i="27" s="1"/>
  <c r="O208" i="5"/>
  <c r="P206" i="5"/>
  <c r="D256" i="32" l="1"/>
  <c r="D274" i="4" s="1"/>
  <c r="D30" i="32"/>
  <c r="G246" i="32"/>
  <c r="D261" i="32" s="1"/>
  <c r="D280" i="4" s="1"/>
  <c r="F16" i="32"/>
  <c r="F15" i="32"/>
  <c r="G320" i="5" s="1"/>
  <c r="D264" i="32"/>
  <c r="D283" i="4" s="1"/>
  <c r="O209" i="5"/>
  <c r="F13" i="32"/>
  <c r="G318" i="5" s="1"/>
  <c r="D260" i="32"/>
  <c r="D279" i="4" s="1"/>
  <c r="D262" i="32"/>
  <c r="D281" i="4" s="1"/>
  <c r="F247" i="32"/>
  <c r="B12" i="31"/>
  <c r="B14" i="31" s="1"/>
  <c r="D180" i="4" s="1"/>
  <c r="B31" i="30"/>
  <c r="B34" i="30" s="1"/>
  <c r="D248" i="4"/>
  <c r="B10" i="31"/>
  <c r="D155" i="4"/>
  <c r="B8" i="30"/>
  <c r="B10" i="30" s="1"/>
  <c r="D184" i="4"/>
  <c r="E155" i="5"/>
  <c r="D12" i="28"/>
  <c r="D14" i="28" s="1"/>
  <c r="D251" i="4" s="1"/>
  <c r="C21" i="27"/>
  <c r="C36" i="27" s="1"/>
  <c r="C41" i="27"/>
  <c r="C51" i="27" s="1"/>
  <c r="C46" i="27"/>
  <c r="C48" i="27" s="1"/>
  <c r="C44" i="27"/>
  <c r="C42" i="27"/>
  <c r="C47" i="27" s="1"/>
  <c r="C19" i="27"/>
  <c r="D252" i="4"/>
  <c r="D18" i="28"/>
  <c r="D254" i="4" s="1"/>
  <c r="D4" i="28"/>
  <c r="D11" i="28" s="1"/>
  <c r="C43" i="27"/>
  <c r="C52" i="27" s="1"/>
  <c r="C45" i="27"/>
  <c r="D56" i="32" l="1"/>
  <c r="D50" i="32"/>
  <c r="D285" i="4"/>
  <c r="G247" i="32"/>
  <c r="D263" i="32" s="1"/>
  <c r="D282" i="4" s="1"/>
  <c r="D179" i="4"/>
  <c r="D58" i="32"/>
  <c r="D11" i="32"/>
  <c r="D48" i="32"/>
  <c r="D38" i="32"/>
  <c r="D45" i="32"/>
  <c r="D63" i="32"/>
  <c r="D37" i="32"/>
  <c r="D44" i="32"/>
  <c r="D61" i="32"/>
  <c r="D42" i="32"/>
  <c r="D34" i="32"/>
  <c r="D41" i="32"/>
  <c r="D62" i="32"/>
  <c r="D40" i="32"/>
  <c r="D47" i="32"/>
  <c r="D36" i="32"/>
  <c r="D60" i="32"/>
  <c r="D57" i="32"/>
  <c r="D39" i="32"/>
  <c r="D43" i="32"/>
  <c r="D59" i="32"/>
  <c r="D46" i="32"/>
  <c r="D35" i="32"/>
  <c r="B32" i="30"/>
  <c r="D185" i="4"/>
  <c r="D188" i="4"/>
  <c r="D177" i="4"/>
  <c r="B13" i="31"/>
  <c r="D187" i="4"/>
  <c r="D249" i="4"/>
  <c r="D255" i="4"/>
  <c r="D19" i="28"/>
  <c r="A2" i="24"/>
  <c r="M49" i="2"/>
  <c r="M50" i="2"/>
  <c r="M54" i="2"/>
  <c r="M55" i="2"/>
  <c r="M56" i="2"/>
  <c r="M63" i="2"/>
  <c r="M48" i="2"/>
  <c r="E8" i="5"/>
  <c r="I10" i="5" s="1"/>
  <c r="C26" i="2"/>
  <c r="C19" i="2"/>
  <c r="C14" i="2"/>
  <c r="C13" i="2"/>
  <c r="C15" i="2"/>
  <c r="C16" i="2"/>
  <c r="C17" i="2"/>
  <c r="C18" i="2"/>
  <c r="C20" i="2"/>
  <c r="C21" i="2"/>
  <c r="C22" i="2"/>
  <c r="C23" i="2"/>
  <c r="C24" i="2"/>
  <c r="C25" i="2"/>
  <c r="D20" i="28" l="1"/>
  <c r="D256" i="4" s="1"/>
  <c r="D52" i="32"/>
  <c r="D53" i="32" s="1"/>
  <c r="D77" i="32" s="1"/>
  <c r="D78" i="32" s="1" a="1"/>
  <c r="D78" i="32" s="1"/>
  <c r="D16" i="32"/>
  <c r="E321" i="5" s="1"/>
  <c r="G321" i="5" s="1"/>
  <c r="D13" i="32"/>
  <c r="E318" i="5" s="1"/>
  <c r="D14" i="32"/>
  <c r="E319" i="5" s="1"/>
  <c r="D15" i="32"/>
  <c r="E320" i="5" s="1"/>
  <c r="I6" i="5"/>
  <c r="E204" i="5"/>
  <c r="C6" i="27"/>
  <c r="C13" i="27" s="1"/>
  <c r="E325" i="5" l="1"/>
  <c r="E323" i="5"/>
  <c r="G239" i="32"/>
  <c r="D239" i="32" s="1"/>
  <c r="C53" i="27"/>
  <c r="D166" i="4" s="1"/>
  <c r="C35" i="27"/>
  <c r="B12" i="3"/>
  <c r="D220" i="4"/>
  <c r="E245" i="32" l="1"/>
  <c r="D12" i="32"/>
  <c r="E317" i="5" s="1"/>
  <c r="H239" i="32"/>
  <c r="D258" i="32" s="1"/>
  <c r="D277" i="4" s="1"/>
  <c r="C50" i="27"/>
  <c r="D165" i="4" s="1"/>
  <c r="H170" i="4" s="1"/>
  <c r="C38" i="27"/>
  <c r="A60" i="5"/>
  <c r="B60" i="5" s="1"/>
  <c r="A61" i="5"/>
  <c r="B61" i="5" s="1"/>
  <c r="A62" i="5"/>
  <c r="B62" i="5" s="1"/>
  <c r="A63" i="5"/>
  <c r="B63" i="5" s="1"/>
  <c r="A64" i="5"/>
  <c r="B64" i="5" s="1"/>
  <c r="A65" i="5"/>
  <c r="B65" i="5" s="1"/>
  <c r="A66" i="5"/>
  <c r="B66" i="5" s="1"/>
  <c r="A67" i="5"/>
  <c r="B67" i="5" s="1"/>
  <c r="A68" i="5"/>
  <c r="B68" i="5" s="1"/>
  <c r="A69" i="5"/>
  <c r="B69" i="5" s="1"/>
  <c r="A70" i="5"/>
  <c r="B70" i="5" s="1"/>
  <c r="A71" i="5"/>
  <c r="B71" i="5" s="1"/>
  <c r="A72" i="5"/>
  <c r="B72" i="5" s="1"/>
  <c r="A73" i="5"/>
  <c r="B73" i="5" s="1"/>
  <c r="A74" i="5"/>
  <c r="B74" i="5" s="1"/>
  <c r="A75" i="5"/>
  <c r="B79" i="5"/>
  <c r="B80" i="5"/>
  <c r="A81" i="5"/>
  <c r="B81" i="5" s="1"/>
  <c r="A82" i="5"/>
  <c r="B82" i="5" s="1"/>
  <c r="A83" i="5"/>
  <c r="B83" i="5" s="1"/>
  <c r="A91" i="5"/>
  <c r="B91" i="5" s="1"/>
  <c r="A45" i="5"/>
  <c r="B45" i="5" s="1"/>
  <c r="A46" i="5"/>
  <c r="B46" i="5" s="1"/>
  <c r="A47" i="5"/>
  <c r="B47" i="5" s="1"/>
  <c r="A48" i="5"/>
  <c r="B48" i="5" s="1"/>
  <c r="A49" i="5"/>
  <c r="B49" i="5" s="1"/>
  <c r="A50" i="5"/>
  <c r="B50" i="5" s="1"/>
  <c r="A51" i="5"/>
  <c r="B51" i="5" s="1"/>
  <c r="A52" i="5"/>
  <c r="B52" i="5" s="1"/>
  <c r="A53" i="5"/>
  <c r="B53" i="5" s="1"/>
  <c r="A54" i="5"/>
  <c r="B54" i="5" s="1"/>
  <c r="A55" i="5"/>
  <c r="B55" i="5" s="1"/>
  <c r="A56" i="5"/>
  <c r="B56" i="5" s="1"/>
  <c r="A57" i="5"/>
  <c r="B57" i="5" s="1"/>
  <c r="A58" i="5"/>
  <c r="B58" i="5" s="1"/>
  <c r="A59" i="5"/>
  <c r="B59" i="5" s="1"/>
  <c r="B43" i="5"/>
  <c r="A94" i="5"/>
  <c r="B94" i="5" s="1"/>
  <c r="A95" i="5"/>
  <c r="B95" i="5" s="1"/>
  <c r="A96" i="5"/>
  <c r="B96" i="5" s="1"/>
  <c r="A97" i="5"/>
  <c r="B97" i="5" s="1"/>
  <c r="A98" i="5"/>
  <c r="B98" i="5" s="1"/>
  <c r="A99" i="5"/>
  <c r="B99" i="5" s="1"/>
  <c r="F249" i="32" l="1"/>
  <c r="F248" i="32"/>
  <c r="F239" i="32"/>
  <c r="F245" i="32" s="1"/>
  <c r="D257" i="32"/>
  <c r="J12" i="32"/>
  <c r="F325" i="5"/>
  <c r="H325" i="5"/>
  <c r="G170" i="4"/>
  <c r="F170" i="4"/>
  <c r="E170" i="4"/>
  <c r="D170" i="4"/>
  <c r="D167" i="4"/>
  <c r="E127" i="5"/>
  <c r="D268" i="32" l="1"/>
  <c r="D269" i="32" s="1"/>
  <c r="D288" i="4" s="1"/>
  <c r="D276" i="4"/>
  <c r="D275" i="4" s="1"/>
  <c r="D286" i="4" s="1"/>
  <c r="F12" i="32"/>
  <c r="G317" i="5" s="1"/>
  <c r="D265" i="32"/>
  <c r="D284" i="4" s="1"/>
  <c r="G248" i="32"/>
  <c r="G251" i="32"/>
  <c r="D270" i="32" s="1"/>
  <c r="D289" i="4" s="1"/>
  <c r="G245" i="32"/>
  <c r="D259" i="32" s="1"/>
  <c r="D278" i="4" s="1"/>
  <c r="F40" i="5"/>
  <c r="E169" i="5"/>
  <c r="E159" i="5"/>
  <c r="E151" i="5"/>
  <c r="E269" i="5"/>
  <c r="B17" i="3"/>
  <c r="I58" i="3" s="1"/>
  <c r="A233" i="5"/>
  <c r="B233" i="5" s="1"/>
  <c r="A234" i="5"/>
  <c r="A240" i="5"/>
  <c r="A241" i="5"/>
  <c r="A242" i="5"/>
  <c r="A243" i="5"/>
  <c r="A244" i="5"/>
  <c r="A245" i="5"/>
  <c r="A249" i="5"/>
  <c r="A250" i="5"/>
  <c r="A251" i="5"/>
  <c r="A252" i="5"/>
  <c r="A253" i="5"/>
  <c r="A239" i="5"/>
  <c r="E266" i="5"/>
  <c r="C68" i="2"/>
  <c r="C256" i="5"/>
  <c r="C257" i="5"/>
  <c r="C258" i="5"/>
  <c r="C259" i="5"/>
  <c r="C260" i="5"/>
  <c r="C261" i="5"/>
  <c r="C262" i="5"/>
  <c r="C263" i="5"/>
  <c r="C264" i="5"/>
  <c r="A230" i="5"/>
  <c r="A231" i="5"/>
  <c r="A224" i="5"/>
  <c r="A225" i="5"/>
  <c r="A226" i="5"/>
  <c r="A227" i="5"/>
  <c r="A228" i="5"/>
  <c r="A229" i="5"/>
  <c r="A232" i="5"/>
  <c r="C255" i="5"/>
  <c r="E152" i="5"/>
  <c r="E267" i="5" s="1"/>
  <c r="F38" i="10"/>
  <c r="H38" i="10" s="1"/>
  <c r="B38" i="10" s="1"/>
  <c r="B39" i="11" s="1"/>
  <c r="I40" i="5" l="1"/>
  <c r="E247" i="5"/>
  <c r="D290" i="4"/>
  <c r="D287" i="4"/>
  <c r="J321" i="5" s="1"/>
  <c r="F286" i="4"/>
  <c r="J320" i="5"/>
  <c r="J322" i="5"/>
  <c r="D272" i="32"/>
  <c r="E160" i="5"/>
  <c r="E268" i="5"/>
  <c r="C7" i="2"/>
  <c r="E170" i="5"/>
  <c r="O68" i="2"/>
  <c r="N68" i="2"/>
  <c r="E153" i="5"/>
  <c r="C24" i="5"/>
  <c r="C25" i="5"/>
  <c r="C26" i="5"/>
  <c r="C27" i="5"/>
  <c r="C28" i="5"/>
  <c r="C23" i="5"/>
  <c r="H27" i="5"/>
  <c r="H28" i="5"/>
  <c r="H24" i="5"/>
  <c r="H26" i="5"/>
  <c r="E248" i="5" l="1"/>
  <c r="B4" i="15" s="1"/>
  <c r="E287" i="5"/>
  <c r="D230" i="4"/>
  <c r="F287" i="4"/>
  <c r="F288" i="4" s="1"/>
  <c r="C64" i="2"/>
  <c r="E191" i="5"/>
  <c r="E186" i="5"/>
  <c r="E197" i="5"/>
  <c r="E202" i="5"/>
  <c r="D16" i="25"/>
  <c r="N64" i="2" l="1"/>
  <c r="O64" i="2" s="1"/>
  <c r="D146" i="4"/>
  <c r="D15" i="26"/>
  <c r="D8" i="25"/>
  <c r="D7" i="25"/>
  <c r="D15" i="25" l="1"/>
  <c r="D17" i="25" s="1"/>
  <c r="B6" i="23" l="1" a="1"/>
  <c r="B6" i="23" s="1"/>
  <c r="A44" i="5"/>
  <c r="B44" i="5" s="1"/>
  <c r="E54" i="24"/>
  <c r="B33" i="24" a="1"/>
  <c r="B33" i="24" s="1"/>
  <c r="B38" i="24" s="1"/>
  <c r="B48" i="24"/>
  <c r="B47" i="24"/>
  <c r="B54" i="24" l="1"/>
  <c r="D54" i="24" s="1"/>
  <c r="B17" i="23"/>
  <c r="C17" i="23" s="1"/>
  <c r="B85" i="23"/>
  <c r="C85" i="23" s="1"/>
  <c r="B13" i="23"/>
  <c r="C13" i="23" s="1"/>
  <c r="B43" i="24"/>
  <c r="B35" i="23"/>
  <c r="C35" i="23" s="1"/>
  <c r="B41" i="24"/>
  <c r="C41" i="24" s="1"/>
  <c r="B57" i="23"/>
  <c r="C57" i="23" s="1"/>
  <c r="B89" i="23"/>
  <c r="C89" i="23" s="1"/>
  <c r="B40" i="24"/>
  <c r="C40" i="24" s="1"/>
  <c r="B39" i="24"/>
  <c r="B42" i="24"/>
  <c r="C42" i="24" s="1"/>
  <c r="B61" i="23"/>
  <c r="C61" i="23" s="1"/>
  <c r="B39" i="23"/>
  <c r="C39" i="23" s="1"/>
  <c r="C38" i="24"/>
  <c r="B49" i="24"/>
  <c r="C49" i="24" s="1"/>
  <c r="B251" i="5" l="1"/>
  <c r="B224" i="5"/>
  <c r="B225" i="5"/>
  <c r="B226" i="5"/>
  <c r="B227" i="5"/>
  <c r="B228" i="5"/>
  <c r="B229" i="5"/>
  <c r="B230" i="5"/>
  <c r="B232" i="5"/>
  <c r="B234" i="5"/>
  <c r="B239" i="5"/>
  <c r="B240" i="5"/>
  <c r="B241" i="5"/>
  <c r="B242" i="5"/>
  <c r="B243" i="5"/>
  <c r="B245" i="5"/>
  <c r="B249" i="5"/>
  <c r="B250" i="5"/>
  <c r="D19" i="25" l="1"/>
  <c r="D10" i="26" l="1"/>
  <c r="D6" i="26"/>
  <c r="D5" i="26"/>
  <c r="D2" i="26"/>
  <c r="E2" i="26" s="1"/>
  <c r="D3" i="26"/>
  <c r="E3" i="26" s="1"/>
  <c r="D11" i="26" l="1"/>
  <c r="F3" i="26"/>
  <c r="D13" i="26" l="1"/>
  <c r="D16" i="26" s="1"/>
  <c r="D145" i="4"/>
  <c r="D147" i="4" s="1"/>
  <c r="D14" i="26" l="1"/>
  <c r="D149" i="4" s="1"/>
  <c r="D18" i="25"/>
  <c r="B5" i="23"/>
  <c r="B11" i="23" s="1"/>
  <c r="D13" i="23" s="1"/>
  <c r="B4" i="23"/>
  <c r="B3" i="23"/>
  <c r="B2" i="23"/>
  <c r="C60" i="2"/>
  <c r="O60" i="2" s="1"/>
  <c r="C61" i="2"/>
  <c r="O61" i="2" s="1"/>
  <c r="C62" i="2"/>
  <c r="N62" i="2" s="1"/>
  <c r="C48" i="2"/>
  <c r="N96" i="23" l="1"/>
  <c r="N73" i="23"/>
  <c r="N81" i="23"/>
  <c r="N98" i="23"/>
  <c r="N76" i="23"/>
  <c r="N97" i="23"/>
  <c r="N74" i="23"/>
  <c r="N82" i="23"/>
  <c r="N75" i="23"/>
  <c r="N83" i="23"/>
  <c r="N99" i="23"/>
  <c r="N84" i="23"/>
  <c r="N100" i="23"/>
  <c r="N77" i="23"/>
  <c r="N85" i="23"/>
  <c r="N94" i="23"/>
  <c r="N95" i="23"/>
  <c r="N80" i="23"/>
  <c r="N101" i="23"/>
  <c r="N78" i="23"/>
  <c r="N86" i="23"/>
  <c r="N79" i="23"/>
  <c r="N72" i="23"/>
  <c r="N88" i="23"/>
  <c r="N48" i="2"/>
  <c r="D20" i="25"/>
  <c r="D135" i="4"/>
  <c r="D75" i="4"/>
  <c r="G15" i="23"/>
  <c r="N60" i="2"/>
  <c r="O62" i="2"/>
  <c r="N61" i="2"/>
  <c r="B28" i="5"/>
  <c r="B59" i="24" s="1"/>
  <c r="D59" i="24" s="1"/>
  <c r="B27" i="5"/>
  <c r="B58" i="24" s="1"/>
  <c r="D58" i="24" s="1"/>
  <c r="B26" i="5"/>
  <c r="B57" i="24" s="1"/>
  <c r="D57" i="24" s="1"/>
  <c r="B25" i="5"/>
  <c r="B56" i="24" s="1"/>
  <c r="D56" i="24" s="1"/>
  <c r="B24" i="5"/>
  <c r="B55" i="24" s="1"/>
  <c r="D55" i="24" s="1"/>
  <c r="C49" i="2"/>
  <c r="C50" i="2"/>
  <c r="C51" i="2"/>
  <c r="C52" i="2"/>
  <c r="C53" i="2"/>
  <c r="C54" i="2"/>
  <c r="C55" i="2"/>
  <c r="C56" i="2"/>
  <c r="C58" i="2"/>
  <c r="C59" i="2"/>
  <c r="C67" i="2"/>
  <c r="O67" i="2" s="1"/>
  <c r="C66" i="2"/>
  <c r="C63" i="2"/>
  <c r="D35" i="4"/>
  <c r="D36" i="4"/>
  <c r="D37" i="4"/>
  <c r="D38" i="4"/>
  <c r="D39" i="4"/>
  <c r="D34" i="4"/>
  <c r="E35" i="4"/>
  <c r="E36" i="4"/>
  <c r="E37" i="4"/>
  <c r="E38" i="4"/>
  <c r="E39" i="4"/>
  <c r="E34" i="4"/>
  <c r="C16" i="24"/>
  <c r="G16" i="24" s="1"/>
  <c r="B16" i="24"/>
  <c r="C15" i="24"/>
  <c r="G15" i="24" s="1"/>
  <c r="B15" i="24"/>
  <c r="C14" i="24"/>
  <c r="G14" i="24" s="1"/>
  <c r="B14" i="24"/>
  <c r="C13" i="24"/>
  <c r="B13" i="24"/>
  <c r="C12" i="24"/>
  <c r="B12" i="24"/>
  <c r="C11" i="24"/>
  <c r="B11" i="24"/>
  <c r="N90" i="23" l="1"/>
  <c r="N91" i="23" s="1"/>
  <c r="D60" i="24"/>
  <c r="G17" i="23"/>
  <c r="E14" i="24"/>
  <c r="F14" i="24" s="1"/>
  <c r="E13" i="24"/>
  <c r="F13" i="24" s="1"/>
  <c r="G13" i="24" s="1"/>
  <c r="E12" i="24"/>
  <c r="F12" i="24" s="1"/>
  <c r="G12" i="24" s="1"/>
  <c r="E11" i="24"/>
  <c r="F11" i="24" s="1"/>
  <c r="G21" i="24"/>
  <c r="G23" i="24"/>
  <c r="E31" i="5"/>
  <c r="D16" i="24"/>
  <c r="D14" i="24"/>
  <c r="N50" i="2"/>
  <c r="E16" i="24"/>
  <c r="F16" i="24" s="1"/>
  <c r="N56" i="2"/>
  <c r="O56" i="2"/>
  <c r="D15" i="24"/>
  <c r="N49" i="2"/>
  <c r="E15" i="24"/>
  <c r="F15" i="24" s="1"/>
  <c r="N55" i="2"/>
  <c r="N63" i="2"/>
  <c r="N54" i="2"/>
  <c r="O58" i="2"/>
  <c r="N58" i="2"/>
  <c r="N66" i="2"/>
  <c r="O66" i="2"/>
  <c r="C73" i="2" s="1"/>
  <c r="O53" i="2"/>
  <c r="N53" i="2"/>
  <c r="N67" i="2"/>
  <c r="O52" i="2"/>
  <c r="N52" i="2"/>
  <c r="N59" i="2"/>
  <c r="O59" i="2"/>
  <c r="N51" i="2"/>
  <c r="O51" i="2"/>
  <c r="G19" i="24"/>
  <c r="D12" i="24"/>
  <c r="D13" i="24"/>
  <c r="G20" i="24"/>
  <c r="G24" i="24"/>
  <c r="G22" i="24"/>
  <c r="D11" i="24"/>
  <c r="N119" i="23" l="1"/>
  <c r="B79" i="23" s="1"/>
  <c r="D89" i="4" s="1"/>
  <c r="H14" i="24"/>
  <c r="K14" i="24"/>
  <c r="J14" i="24"/>
  <c r="I14" i="24"/>
  <c r="H12" i="24"/>
  <c r="D46" i="4" s="1"/>
  <c r="G11" i="24"/>
  <c r="K11" i="24" s="1"/>
  <c r="H16" i="24"/>
  <c r="K12" i="24"/>
  <c r="G46" i="4" s="1"/>
  <c r="J12" i="24"/>
  <c r="F46" i="4" s="1"/>
  <c r="K16" i="24"/>
  <c r="I12" i="24"/>
  <c r="E46" i="4" s="1"/>
  <c r="I15" i="24"/>
  <c r="J15" i="24"/>
  <c r="H15" i="24"/>
  <c r="K15" i="24"/>
  <c r="I16" i="24"/>
  <c r="J16" i="24"/>
  <c r="G25" i="24"/>
  <c r="H13" i="24"/>
  <c r="D47" i="4" s="1"/>
  <c r="I13" i="24"/>
  <c r="E47" i="4" s="1"/>
  <c r="K13" i="24"/>
  <c r="G47" i="4" s="1"/>
  <c r="J13" i="24"/>
  <c r="F47" i="4" s="1"/>
  <c r="I24" i="24" l="1"/>
  <c r="E50" i="4"/>
  <c r="K23" i="24"/>
  <c r="G49" i="4"/>
  <c r="H23" i="24"/>
  <c r="D49" i="4"/>
  <c r="H24" i="24"/>
  <c r="D50" i="4"/>
  <c r="J23" i="24"/>
  <c r="F49" i="4"/>
  <c r="J22" i="24"/>
  <c r="F48" i="4"/>
  <c r="I23" i="24"/>
  <c r="E49" i="4"/>
  <c r="I22" i="24"/>
  <c r="E48" i="4"/>
  <c r="K24" i="24"/>
  <c r="G50" i="4"/>
  <c r="K22" i="24"/>
  <c r="G48" i="4"/>
  <c r="K19" i="24"/>
  <c r="G45" i="4"/>
  <c r="J24" i="24"/>
  <c r="F50" i="4"/>
  <c r="H22" i="24"/>
  <c r="D48" i="4"/>
  <c r="F37" i="4"/>
  <c r="H11" i="24"/>
  <c r="I11" i="24"/>
  <c r="J11" i="24"/>
  <c r="F39" i="4"/>
  <c r="F38" i="4"/>
  <c r="J20" i="24"/>
  <c r="K20" i="24"/>
  <c r="I20" i="24"/>
  <c r="H20" i="24"/>
  <c r="F35" i="4"/>
  <c r="I19" i="24" l="1"/>
  <c r="E45" i="4"/>
  <c r="J19" i="24"/>
  <c r="F45" i="4"/>
  <c r="H19" i="24"/>
  <c r="D45" i="4"/>
  <c r="F34" i="4"/>
  <c r="H21" i="24"/>
  <c r="J21" i="24"/>
  <c r="K21" i="24"/>
  <c r="K25" i="24" s="1"/>
  <c r="I21" i="24"/>
  <c r="I25" i="24" l="1"/>
  <c r="I27" i="24" s="1"/>
  <c r="I28" i="24" s="1"/>
  <c r="H25" i="24"/>
  <c r="H27" i="24" s="1"/>
  <c r="H28" i="24" s="1"/>
  <c r="J25" i="24"/>
  <c r="J27" i="24" s="1"/>
  <c r="J28" i="24" s="1"/>
  <c r="K27" i="24"/>
  <c r="K28" i="24" s="1"/>
  <c r="K26" i="24"/>
  <c r="F36" i="4"/>
  <c r="B75" i="5"/>
  <c r="I11" i="5" l="1"/>
  <c r="E11" i="5"/>
  <c r="I26" i="24"/>
  <c r="H26" i="24"/>
  <c r="F41" i="4" s="1"/>
  <c r="F40" i="4"/>
  <c r="J26" i="24"/>
  <c r="D2" i="25" l="1"/>
  <c r="D5" i="25" s="1"/>
  <c r="C30" i="2"/>
  <c r="C31" i="2"/>
  <c r="C33" i="2"/>
  <c r="C34" i="2"/>
  <c r="C35" i="2"/>
  <c r="C36" i="2"/>
  <c r="C29" i="2"/>
  <c r="B40" i="3"/>
  <c r="B41" i="3"/>
  <c r="B42" i="3"/>
  <c r="B43" i="3"/>
  <c r="B44" i="3"/>
  <c r="B45" i="3"/>
  <c r="B30" i="3"/>
  <c r="B31" i="3"/>
  <c r="B32" i="3"/>
  <c r="B33" i="3"/>
  <c r="B34" i="3"/>
  <c r="B35" i="3"/>
  <c r="B36" i="3"/>
  <c r="B29" i="3"/>
  <c r="B68" i="23"/>
  <c r="B67" i="23"/>
  <c r="B47" i="23"/>
  <c r="B45" i="23"/>
  <c r="B44" i="23"/>
  <c r="B24" i="23"/>
  <c r="B23" i="23"/>
  <c r="D70" i="4" l="1"/>
  <c r="D69" i="4"/>
  <c r="D54" i="4"/>
  <c r="D3" i="25"/>
  <c r="D6" i="25" s="1"/>
  <c r="B52" i="24"/>
  <c r="G52" i="24" s="1"/>
  <c r="G51" i="24" s="1"/>
  <c r="B35" i="24"/>
  <c r="E55" i="24"/>
  <c r="E56" i="24"/>
  <c r="E57" i="24"/>
  <c r="E58" i="24"/>
  <c r="J58" i="24" s="1"/>
  <c r="E59" i="24"/>
  <c r="J59" i="24" s="1"/>
  <c r="A24" i="5"/>
  <c r="B14" i="23" s="1"/>
  <c r="C14" i="23" s="1"/>
  <c r="A25" i="5"/>
  <c r="A26" i="5"/>
  <c r="A27" i="5"/>
  <c r="A58" i="24" s="1"/>
  <c r="A28" i="5"/>
  <c r="E30" i="5"/>
  <c r="B2" i="24" s="1"/>
  <c r="C2" i="24" s="1"/>
  <c r="D29" i="4" s="1"/>
  <c r="B25" i="30" s="1"/>
  <c r="A57" i="24" l="1"/>
  <c r="B60" i="23"/>
  <c r="C60" i="23" s="1"/>
  <c r="B38" i="23"/>
  <c r="C38" i="23" s="1"/>
  <c r="B16" i="23"/>
  <c r="C16" i="23" s="1"/>
  <c r="B88" i="23"/>
  <c r="C88" i="23" s="1"/>
  <c r="H38" i="24"/>
  <c r="H41" i="24" s="1"/>
  <c r="D27" i="4"/>
  <c r="E27" i="4" s="1"/>
  <c r="D21" i="4"/>
  <c r="D20" i="4"/>
  <c r="B19" i="30" s="1"/>
  <c r="D2" i="24"/>
  <c r="F42" i="4" s="1"/>
  <c r="D9" i="4" s="1"/>
  <c r="I30" i="5"/>
  <c r="A56" i="24"/>
  <c r="B87" i="23"/>
  <c r="C87" i="23" s="1"/>
  <c r="B37" i="23"/>
  <c r="C37" i="23" s="1"/>
  <c r="B15" i="23"/>
  <c r="C15" i="23" s="1"/>
  <c r="B59" i="23"/>
  <c r="C59" i="23" s="1"/>
  <c r="A59" i="24"/>
  <c r="B18" i="23"/>
  <c r="C18" i="23" s="1"/>
  <c r="B62" i="23"/>
  <c r="C62" i="23" s="1"/>
  <c r="B40" i="23"/>
  <c r="C40" i="23" s="1"/>
  <c r="B90" i="23"/>
  <c r="C90" i="23" s="1"/>
  <c r="D10" i="25"/>
  <c r="D13" i="25" s="1"/>
  <c r="A55" i="24"/>
  <c r="B36" i="23"/>
  <c r="C36" i="23" s="1"/>
  <c r="B58" i="23"/>
  <c r="C58" i="23" s="1"/>
  <c r="B86" i="23"/>
  <c r="C86" i="23" s="1"/>
  <c r="H52" i="24"/>
  <c r="H51" i="24" s="1"/>
  <c r="B60" i="24"/>
  <c r="C43" i="24"/>
  <c r="C39" i="24"/>
  <c r="F59" i="24"/>
  <c r="F58" i="24"/>
  <c r="A54" i="24"/>
  <c r="E29" i="5"/>
  <c r="E60" i="24"/>
  <c r="D136" i="4"/>
  <c r="D140" i="4" s="1"/>
  <c r="D92" i="4"/>
  <c r="D85" i="4"/>
  <c r="D81" i="4"/>
  <c r="D77" i="4"/>
  <c r="E21" i="4" l="1"/>
  <c r="B20" i="30"/>
  <c r="E20" i="4"/>
  <c r="D150" i="4"/>
  <c r="D19" i="4" s="1"/>
  <c r="B18" i="30" s="1"/>
  <c r="A60" i="24"/>
  <c r="F56" i="24" s="1"/>
  <c r="D22" i="25"/>
  <c r="D24" i="25" s="1"/>
  <c r="D142" i="4" s="1"/>
  <c r="D18" i="4" s="1"/>
  <c r="B17" i="30" s="1"/>
  <c r="D134" i="4"/>
  <c r="D137" i="4" s="1"/>
  <c r="D141" i="4" s="1"/>
  <c r="I52" i="24"/>
  <c r="C44" i="24"/>
  <c r="D39" i="24"/>
  <c r="E39" i="24" s="1"/>
  <c r="D43" i="24"/>
  <c r="E43" i="24" s="1"/>
  <c r="D64" i="4" s="1"/>
  <c r="D41" i="24"/>
  <c r="E41" i="24" s="1"/>
  <c r="D62" i="4" s="1"/>
  <c r="D42" i="24"/>
  <c r="E42" i="24" s="1"/>
  <c r="D63" i="4" s="1"/>
  <c r="D40" i="24"/>
  <c r="E40" i="24" s="1"/>
  <c r="D61" i="4" s="1"/>
  <c r="D38" i="24"/>
  <c r="E38" i="24" s="1"/>
  <c r="E19" i="4" l="1"/>
  <c r="F54" i="24"/>
  <c r="G54" i="24" s="1"/>
  <c r="F55" i="24"/>
  <c r="G55" i="24" s="1"/>
  <c r="F57" i="24"/>
  <c r="D59" i="4"/>
  <c r="F38" i="24"/>
  <c r="F39" i="24"/>
  <c r="D60" i="4"/>
  <c r="H59" i="24"/>
  <c r="H58" i="24"/>
  <c r="E44" i="24"/>
  <c r="D44" i="24"/>
  <c r="G56" i="24"/>
  <c r="G58" i="24"/>
  <c r="H56" i="24"/>
  <c r="G59" i="24"/>
  <c r="F43" i="24"/>
  <c r="F41" i="24"/>
  <c r="F42" i="24"/>
  <c r="F40" i="24"/>
  <c r="B70" i="23"/>
  <c r="D16" i="23"/>
  <c r="E16" i="23" s="1"/>
  <c r="D17" i="23"/>
  <c r="E17" i="23" s="1"/>
  <c r="D18" i="23"/>
  <c r="E18" i="23" s="1"/>
  <c r="B26" i="23"/>
  <c r="B27" i="23" s="1"/>
  <c r="H54" i="24" l="1"/>
  <c r="I54" i="24" s="1"/>
  <c r="D65" i="4"/>
  <c r="H55" i="24"/>
  <c r="F60" i="24"/>
  <c r="G57" i="24"/>
  <c r="H57" i="24"/>
  <c r="E18" i="4"/>
  <c r="I56" i="24"/>
  <c r="D62" i="23"/>
  <c r="D61" i="23"/>
  <c r="D39" i="23"/>
  <c r="D40" i="23"/>
  <c r="I59" i="24"/>
  <c r="I58" i="24"/>
  <c r="C41" i="23"/>
  <c r="C63" i="23"/>
  <c r="C91" i="23"/>
  <c r="C19" i="23"/>
  <c r="H60" i="24" l="1"/>
  <c r="I55" i="24"/>
  <c r="I57" i="24"/>
  <c r="G60" i="24"/>
  <c r="E40" i="23"/>
  <c r="F40" i="23"/>
  <c r="E61" i="23"/>
  <c r="F61" i="23"/>
  <c r="E39" i="23"/>
  <c r="F39" i="23"/>
  <c r="E62" i="23"/>
  <c r="F62" i="23"/>
  <c r="F44" i="24"/>
  <c r="B19" i="23"/>
  <c r="B71" i="23"/>
  <c r="B69" i="23"/>
  <c r="B48" i="23"/>
  <c r="B52" i="23" s="1"/>
  <c r="B25" i="23"/>
  <c r="B28" i="23" s="1"/>
  <c r="H44" i="24" l="1"/>
  <c r="D55" i="4" s="1"/>
  <c r="D10" i="4" s="1"/>
  <c r="B72" i="23"/>
  <c r="I60" i="24"/>
  <c r="D14" i="23"/>
  <c r="E14" i="23" s="1"/>
  <c r="E13" i="23"/>
  <c r="D15" i="23"/>
  <c r="E15" i="23" s="1"/>
  <c r="F17" i="23"/>
  <c r="F18" i="23"/>
  <c r="F16" i="23"/>
  <c r="C45" i="23"/>
  <c r="C24" i="23"/>
  <c r="B91" i="23"/>
  <c r="D68" i="23"/>
  <c r="B46" i="23"/>
  <c r="B49" i="23" s="1"/>
  <c r="B80" i="23" l="1"/>
  <c r="D87" i="4"/>
  <c r="J57" i="24"/>
  <c r="J56" i="24"/>
  <c r="J55" i="24"/>
  <c r="J54" i="24"/>
  <c r="B55" i="23"/>
  <c r="D83" i="4"/>
  <c r="G38" i="24"/>
  <c r="E59" i="4" s="1"/>
  <c r="G42" i="24"/>
  <c r="E63" i="4" s="1"/>
  <c r="G40" i="24"/>
  <c r="E61" i="4" s="1"/>
  <c r="G41" i="24"/>
  <c r="E62" i="4" s="1"/>
  <c r="G39" i="24"/>
  <c r="E60" i="4" s="1"/>
  <c r="G43" i="24"/>
  <c r="E64" i="4" s="1"/>
  <c r="E19" i="23"/>
  <c r="G19" i="23" s="1"/>
  <c r="D78" i="4" s="1"/>
  <c r="B33" i="23"/>
  <c r="D79" i="4"/>
  <c r="B75" i="23"/>
  <c r="B31" i="23"/>
  <c r="F15" i="23"/>
  <c r="F14" i="23"/>
  <c r="D19" i="23"/>
  <c r="F13" i="23"/>
  <c r="G59" i="23" l="1"/>
  <c r="G61" i="23" s="1"/>
  <c r="D60" i="23"/>
  <c r="D36" i="23"/>
  <c r="E36" i="23" s="1"/>
  <c r="D38" i="23"/>
  <c r="J60" i="24"/>
  <c r="E65" i="4"/>
  <c r="D76" i="4"/>
  <c r="D53" i="4"/>
  <c r="D59" i="23"/>
  <c r="E59" i="23" s="1"/>
  <c r="D37" i="23"/>
  <c r="F37" i="23" s="1"/>
  <c r="D58" i="23"/>
  <c r="F58" i="23" s="1"/>
  <c r="D57" i="23"/>
  <c r="F57" i="23" s="1"/>
  <c r="D35" i="23"/>
  <c r="G37" i="23"/>
  <c r="G39" i="23" s="1"/>
  <c r="F36" i="23" l="1"/>
  <c r="E60" i="23"/>
  <c r="F60" i="23"/>
  <c r="E38" i="23"/>
  <c r="F38" i="23"/>
  <c r="F63" i="24"/>
  <c r="D68" i="4" s="1"/>
  <c r="D71" i="4"/>
  <c r="D11" i="4" s="1"/>
  <c r="E11" i="4" s="1"/>
  <c r="F59" i="23"/>
  <c r="E37" i="23"/>
  <c r="D41" i="23"/>
  <c r="E58" i="23"/>
  <c r="G57" i="23"/>
  <c r="D63" i="23"/>
  <c r="E57" i="23"/>
  <c r="E63" i="23" s="1"/>
  <c r="G63" i="23" s="1"/>
  <c r="D86" i="4" s="1"/>
  <c r="F35" i="23"/>
  <c r="E35" i="23"/>
  <c r="B41" i="23"/>
  <c r="B63" i="23"/>
  <c r="E41" i="23" l="1"/>
  <c r="G41" i="23" s="1"/>
  <c r="D82" i="4" s="1"/>
  <c r="D80" i="4" s="1"/>
  <c r="D84" i="4"/>
  <c r="F37" i="10"/>
  <c r="H37" i="10" s="1"/>
  <c r="B37" i="10" s="1"/>
  <c r="F39" i="10"/>
  <c r="H39" i="10" s="1"/>
  <c r="F40" i="10"/>
  <c r="H40" i="10" s="1"/>
  <c r="F41" i="10"/>
  <c r="H41" i="10" s="1"/>
  <c r="B41" i="10" s="1"/>
  <c r="B42" i="11" s="1"/>
  <c r="F42" i="10"/>
  <c r="H42" i="10" s="1"/>
  <c r="F43" i="10"/>
  <c r="H43" i="10" s="1"/>
  <c r="F44" i="10"/>
  <c r="H44" i="10" s="1"/>
  <c r="B43" i="10" l="1"/>
  <c r="B44" i="11" s="1"/>
  <c r="B42" i="10"/>
  <c r="B43" i="11" s="1"/>
  <c r="B44" i="10"/>
  <c r="B45" i="11" s="1"/>
  <c r="B38" i="11"/>
  <c r="B40" i="10"/>
  <c r="B41" i="11" s="1"/>
  <c r="B39" i="10"/>
  <c r="B40" i="11" s="1"/>
  <c r="B39" i="3"/>
  <c r="B26" i="3"/>
  <c r="B25" i="3"/>
  <c r="B24" i="3"/>
  <c r="B23" i="3"/>
  <c r="B22" i="3"/>
  <c r="B21" i="3"/>
  <c r="B20" i="3"/>
  <c r="B19" i="3"/>
  <c r="B18" i="3"/>
  <c r="I48" i="3" s="1"/>
  <c r="B47" i="11" l="1"/>
  <c r="D127" i="4" s="1"/>
  <c r="B46" i="10"/>
  <c r="D201" i="4"/>
  <c r="C12" i="2"/>
  <c r="E236" i="5" l="1"/>
  <c r="D198" i="4"/>
  <c r="B6" i="15"/>
  <c r="D219" i="4" s="1"/>
  <c r="D221" i="4" l="1"/>
  <c r="H10" i="13"/>
  <c r="B2" i="13"/>
  <c r="B19" i="13" s="1"/>
  <c r="D103" i="4" s="1"/>
  <c r="B21" i="13" l="1"/>
  <c r="B20" i="13"/>
  <c r="B10" i="13"/>
  <c r="B23" i="13"/>
  <c r="B11" i="13"/>
  <c r="B12" i="13"/>
  <c r="B13" i="13"/>
  <c r="B14" i="13"/>
  <c r="H11" i="13"/>
  <c r="H12" i="13"/>
  <c r="H13" i="13"/>
  <c r="H15" i="13"/>
  <c r="H16" i="13"/>
  <c r="H17" i="13"/>
  <c r="H18" i="13"/>
  <c r="H20" i="13"/>
  <c r="C27" i="2"/>
  <c r="C28" i="2"/>
  <c r="C11" i="2"/>
  <c r="D107" i="4" l="1"/>
  <c r="C27" i="13"/>
  <c r="C6" i="21"/>
  <c r="C26" i="13"/>
  <c r="C5" i="21"/>
  <c r="C25" i="13"/>
  <c r="C4" i="21"/>
  <c r="C6" i="22"/>
  <c r="C5" i="22"/>
  <c r="C4" i="22"/>
  <c r="I51" i="3" l="1"/>
  <c r="B9" i="21" l="1"/>
  <c r="B29" i="13"/>
  <c r="B9" i="22"/>
  <c r="H47" i="3"/>
  <c r="D242" i="4"/>
  <c r="D214" i="4"/>
  <c r="O48" i="2"/>
  <c r="C5" i="2"/>
  <c r="C4" i="2"/>
  <c r="B10" i="3"/>
  <c r="B9" i="3"/>
  <c r="C6" i="2"/>
  <c r="D98" i="4"/>
  <c r="M50" i="3"/>
  <c r="C41" i="2" l="1"/>
  <c r="C42" i="2"/>
  <c r="G41" i="2"/>
  <c r="F42" i="2"/>
  <c r="I43" i="2" s="1"/>
  <c r="G40" i="2"/>
  <c r="L58" i="3"/>
  <c r="B11" i="3"/>
  <c r="I52" i="3" l="1"/>
  <c r="J48" i="3"/>
  <c r="K48" i="3"/>
  <c r="L48" i="3" l="1"/>
  <c r="B5" i="3"/>
  <c r="B4" i="19"/>
  <c r="B11" i="19" l="1"/>
  <c r="B10" i="19"/>
  <c r="B12" i="19"/>
  <c r="B14" i="19"/>
  <c r="B9" i="19"/>
  <c r="B6" i="19"/>
  <c r="B13" i="19"/>
  <c r="B8" i="19"/>
  <c r="B16" i="19"/>
  <c r="B7" i="19"/>
  <c r="B15" i="19"/>
  <c r="B38" i="12"/>
  <c r="B3" i="10"/>
  <c r="B18" i="10" s="1"/>
  <c r="B33" i="10" l="1"/>
  <c r="B34" i="10"/>
  <c r="B28" i="10"/>
  <c r="B30" i="10"/>
  <c r="B32" i="10"/>
  <c r="B29" i="10"/>
  <c r="B31" i="10"/>
  <c r="B27" i="10"/>
  <c r="B18" i="19"/>
  <c r="B21" i="10"/>
  <c r="B9" i="10"/>
  <c r="B3" i="13"/>
  <c r="B24" i="12"/>
  <c r="B8" i="12"/>
  <c r="B16" i="12"/>
  <c r="B7" i="12"/>
  <c r="B25" i="12"/>
  <c r="B9" i="12"/>
  <c r="B17" i="12"/>
  <c r="B18" i="12"/>
  <c r="B19" i="12"/>
  <c r="B28" i="12"/>
  <c r="B12" i="12"/>
  <c r="B31" i="12"/>
  <c r="B23" i="12"/>
  <c r="B26" i="12"/>
  <c r="B10" i="12"/>
  <c r="B27" i="12"/>
  <c r="B11" i="12"/>
  <c r="B20" i="12"/>
  <c r="B15" i="12"/>
  <c r="B29" i="12"/>
  <c r="B13" i="12"/>
  <c r="B21" i="12"/>
  <c r="B30" i="12"/>
  <c r="B14" i="12"/>
  <c r="B22" i="12"/>
  <c r="B17" i="10"/>
  <c r="B10" i="10"/>
  <c r="B14" i="10"/>
  <c r="B11" i="10"/>
  <c r="B19" i="10"/>
  <c r="B6" i="10"/>
  <c r="E231" i="5" s="1"/>
  <c r="B13" i="10"/>
  <c r="B7" i="10"/>
  <c r="E232" i="5" s="1"/>
  <c r="B12" i="10"/>
  <c r="B5" i="10"/>
  <c r="E230" i="5" s="1"/>
  <c r="B15" i="10"/>
  <c r="B8" i="10"/>
  <c r="B16" i="10"/>
  <c r="S8" i="15"/>
  <c r="S9" i="15"/>
  <c r="S10" i="15"/>
  <c r="S7" i="15"/>
  <c r="P7" i="15"/>
  <c r="P8" i="15"/>
  <c r="P9" i="15"/>
  <c r="P10" i="15"/>
  <c r="P11" i="15"/>
  <c r="P6" i="15"/>
  <c r="D213" i="4" l="1"/>
  <c r="B33" i="12" a="1"/>
  <c r="B33" i="12" s="1"/>
  <c r="E240" i="5" s="1"/>
  <c r="B23" i="19"/>
  <c r="D99" i="4" s="1"/>
  <c r="D13" i="4" s="1"/>
  <c r="E13" i="4" s="1"/>
  <c r="E138" i="5"/>
  <c r="B8" i="15"/>
  <c r="E251" i="5"/>
  <c r="E250" i="5"/>
  <c r="E252" i="5"/>
  <c r="B6" i="13"/>
  <c r="B9" i="13"/>
  <c r="E165" i="5" s="1"/>
  <c r="B7" i="13"/>
  <c r="B8" i="13"/>
  <c r="D97" i="4"/>
  <c r="B23" i="10"/>
  <c r="B24" i="10" s="1"/>
  <c r="B9" i="15"/>
  <c r="E243" i="5"/>
  <c r="E234" i="5"/>
  <c r="E235" i="5"/>
  <c r="E233" i="5"/>
  <c r="B52" i="10" l="1"/>
  <c r="D199" i="4" s="1"/>
  <c r="D196" i="4"/>
  <c r="E164" i="5"/>
  <c r="E168" i="5" s="1"/>
  <c r="D197" i="4"/>
  <c r="E229" i="5"/>
  <c r="B56" i="10" l="1"/>
  <c r="B53" i="10"/>
  <c r="E241" i="5"/>
  <c r="E242" i="5"/>
  <c r="D235" i="4"/>
  <c r="B3" i="11" l="1"/>
  <c r="B29" i="11" s="1"/>
  <c r="C95" i="2"/>
  <c r="B30" i="11" l="1"/>
  <c r="B34" i="11"/>
  <c r="B31" i="11"/>
  <c r="B32" i="11"/>
  <c r="B33" i="11"/>
  <c r="B35" i="11"/>
  <c r="B28" i="11"/>
  <c r="B10" i="11"/>
  <c r="B18" i="11"/>
  <c r="B20" i="11"/>
  <c r="B15" i="11"/>
  <c r="B17" i="11"/>
  <c r="B11" i="11"/>
  <c r="B19" i="11"/>
  <c r="B12" i="11"/>
  <c r="B8" i="11"/>
  <c r="B16" i="11"/>
  <c r="B9" i="11"/>
  <c r="B13" i="11"/>
  <c r="B6" i="11"/>
  <c r="B7" i="11"/>
  <c r="B14" i="11"/>
  <c r="B22" i="11"/>
  <c r="B24" i="11" l="1"/>
  <c r="E178" i="5"/>
  <c r="E175" i="5"/>
  <c r="E176" i="5"/>
  <c r="E177" i="5"/>
  <c r="E174" i="5" l="1"/>
  <c r="D18" i="32" s="1"/>
  <c r="D126" i="4"/>
  <c r="B25" i="11"/>
  <c r="E52" i="11"/>
  <c r="B12" i="15"/>
  <c r="B13" i="15" s="1"/>
  <c r="B15" i="15" s="1"/>
  <c r="D125" i="4" l="1"/>
  <c r="B51" i="11"/>
  <c r="D128" i="4" s="1"/>
  <c r="D224" i="4"/>
  <c r="E179" i="5"/>
  <c r="D212" i="4"/>
  <c r="D19" i="32" l="1"/>
  <c r="D211" i="4"/>
  <c r="D210" i="4"/>
  <c r="F50" i="11"/>
  <c r="E51" i="11" s="1"/>
  <c r="E50" i="11"/>
  <c r="B18" i="13" l="1"/>
  <c r="E163" i="5" s="1"/>
  <c r="D209" i="4"/>
  <c r="D215" i="4" s="1"/>
  <c r="D216" i="4" s="1"/>
  <c r="D24" i="4" s="1"/>
  <c r="B22" i="30" s="1"/>
  <c r="B64" i="10" l="1"/>
  <c r="H166" i="5"/>
  <c r="B57" i="10"/>
  <c r="B42" i="12"/>
  <c r="D104" i="4"/>
  <c r="D102" i="4"/>
  <c r="E24" i="4" l="1"/>
  <c r="B65" i="10"/>
  <c r="B5" i="21"/>
  <c r="B26" i="13"/>
  <c r="B5" i="22"/>
  <c r="B66" i="10"/>
  <c r="B58" i="10"/>
  <c r="A80" i="23"/>
  <c r="B53" i="11"/>
  <c r="O49" i="2"/>
  <c r="O50" i="2"/>
  <c r="O63" i="2"/>
  <c r="J56" i="3"/>
  <c r="B64" i="3"/>
  <c r="C10" i="2"/>
  <c r="B60" i="10" l="1"/>
  <c r="B67" i="10" s="1"/>
  <c r="B61" i="10"/>
  <c r="D200" i="4" s="1"/>
  <c r="F41" i="2"/>
  <c r="H41" i="2" s="1"/>
  <c r="I42" i="2" s="1"/>
  <c r="B83" i="23"/>
  <c r="G87" i="23" s="1"/>
  <c r="G89" i="23" s="1"/>
  <c r="D90" i="4"/>
  <c r="D89" i="23"/>
  <c r="F89" i="23" s="1"/>
  <c r="B52" i="11"/>
  <c r="D130" i="4" s="1"/>
  <c r="D88" i="23" l="1"/>
  <c r="E88" i="23" s="1"/>
  <c r="D90" i="23"/>
  <c r="D87" i="23"/>
  <c r="F87" i="23" s="1"/>
  <c r="D86" i="23"/>
  <c r="E86" i="23" s="1"/>
  <c r="D85" i="23"/>
  <c r="F85" i="23" s="1"/>
  <c r="E89" i="23"/>
  <c r="M49" i="3"/>
  <c r="L56" i="3"/>
  <c r="N56" i="3" s="1"/>
  <c r="B56" i="3" s="1"/>
  <c r="K49" i="3"/>
  <c r="K50" i="3"/>
  <c r="K53" i="3"/>
  <c r="K51" i="3"/>
  <c r="K54" i="3"/>
  <c r="K55" i="3"/>
  <c r="J49" i="3"/>
  <c r="J50" i="3"/>
  <c r="J53" i="3"/>
  <c r="J51" i="3"/>
  <c r="J54" i="3"/>
  <c r="J55" i="3"/>
  <c r="I54" i="3"/>
  <c r="I55" i="3"/>
  <c r="I49" i="3"/>
  <c r="I50" i="3"/>
  <c r="I53" i="3"/>
  <c r="L52" i="3"/>
  <c r="N52" i="3" s="1"/>
  <c r="B52" i="3" s="1"/>
  <c r="I57" i="3"/>
  <c r="L57" i="3" s="1"/>
  <c r="N57" i="3" s="1"/>
  <c r="B57" i="3" s="1"/>
  <c r="N58" i="3"/>
  <c r="B58" i="3" s="1"/>
  <c r="C74" i="2"/>
  <c r="E74" i="2" s="1"/>
  <c r="O55" i="2"/>
  <c r="O54" i="2"/>
  <c r="F88" i="23" l="1"/>
  <c r="C90" i="2"/>
  <c r="E90" i="2" s="1"/>
  <c r="F90" i="23"/>
  <c r="E90" i="23"/>
  <c r="E87" i="23"/>
  <c r="F86" i="23"/>
  <c r="E85" i="23"/>
  <c r="D91" i="23"/>
  <c r="L51" i="3"/>
  <c r="N51" i="3" s="1"/>
  <c r="B51" i="3" s="1"/>
  <c r="L50" i="3"/>
  <c r="N50" i="3" s="1"/>
  <c r="B50" i="3" s="1"/>
  <c r="L49" i="3"/>
  <c r="N49" i="3" s="1"/>
  <c r="B49" i="3" s="1"/>
  <c r="L53" i="3"/>
  <c r="N53" i="3" s="1"/>
  <c r="B53" i="3" s="1"/>
  <c r="N48" i="3"/>
  <c r="B48" i="3" s="1"/>
  <c r="L55" i="3"/>
  <c r="N55" i="3" s="1"/>
  <c r="B55" i="3" s="1"/>
  <c r="L54" i="3"/>
  <c r="N54" i="3" s="1"/>
  <c r="B54" i="3" s="1"/>
  <c r="E91" i="23" l="1"/>
  <c r="F91" i="23" s="1"/>
  <c r="B61" i="3"/>
  <c r="D239" i="4" s="1"/>
  <c r="G91" i="23" l="1"/>
  <c r="D93" i="4" s="1"/>
  <c r="D94" i="4" s="1"/>
  <c r="D12" i="4" s="1"/>
  <c r="B72" i="10"/>
  <c r="B71" i="10" s="1"/>
  <c r="B65" i="3"/>
  <c r="B67" i="3" s="1"/>
  <c r="B94" i="23" l="1"/>
  <c r="E74" i="10"/>
  <c r="D240" i="4"/>
  <c r="B69" i="3"/>
  <c r="B71" i="3" s="1"/>
  <c r="B76" i="3" s="1"/>
  <c r="C79" i="23"/>
  <c r="E12" i="4" l="1"/>
  <c r="D91" i="4"/>
  <c r="D203" i="4"/>
  <c r="B55" i="11"/>
  <c r="D131" i="4" s="1"/>
  <c r="D17" i="4" s="1"/>
  <c r="B16" i="30" s="1"/>
  <c r="D129" i="4"/>
  <c r="D241" i="4"/>
  <c r="D243" i="4"/>
  <c r="B73" i="10"/>
  <c r="B74" i="10" s="1"/>
  <c r="B76" i="10" s="1"/>
  <c r="G54" i="11"/>
  <c r="G55" i="11" s="1"/>
  <c r="E17" i="4" l="1"/>
  <c r="D202" i="4"/>
  <c r="D204" i="4"/>
  <c r="D205" i="4" s="1"/>
  <c r="D23" i="4" s="1"/>
  <c r="B21" i="30" l="1"/>
  <c r="E23" i="4"/>
  <c r="B10" i="15"/>
  <c r="B18" i="15" s="1"/>
  <c r="D222" i="4" l="1"/>
  <c r="D223" i="4" s="1"/>
  <c r="E249" i="5"/>
  <c r="B19" i="15"/>
  <c r="D228" i="4" s="1"/>
  <c r="B20" i="15" l="1"/>
  <c r="B22" i="15" s="1"/>
  <c r="D227" i="4"/>
  <c r="D229" i="4" l="1"/>
  <c r="D225" i="4"/>
  <c r="B23" i="15"/>
  <c r="B24" i="15" l="1"/>
  <c r="D232" i="4" s="1"/>
  <c r="D25" i="4" s="1"/>
  <c r="B23" i="30" s="1"/>
  <c r="D231" i="4"/>
  <c r="E25" i="4" l="1"/>
  <c r="B4" i="21"/>
  <c r="B17" i="21" s="1"/>
  <c r="B25" i="13"/>
  <c r="B4" i="22"/>
  <c r="D111" i="4" l="1"/>
  <c r="B27" i="13" l="1"/>
  <c r="B28" i="13" s="1"/>
  <c r="C32" i="2"/>
  <c r="C40" i="2" s="1"/>
  <c r="C45" i="2" s="1"/>
  <c r="B6" i="22"/>
  <c r="B17" i="22" s="1"/>
  <c r="B6" i="21"/>
  <c r="B8" i="21" s="1"/>
  <c r="C57" i="2"/>
  <c r="O57" i="2" s="1"/>
  <c r="B8" i="22" l="1"/>
  <c r="B11" i="22" s="1"/>
  <c r="D119" i="4" s="1"/>
  <c r="E145" i="5"/>
  <c r="E146" i="5"/>
  <c r="B11" i="21"/>
  <c r="B12" i="21"/>
  <c r="B13" i="21" s="1"/>
  <c r="D45" i="2"/>
  <c r="B30" i="13"/>
  <c r="B31" i="13"/>
  <c r="B32" i="13" s="1"/>
  <c r="F40" i="2"/>
  <c r="H40" i="2" s="1"/>
  <c r="I41" i="2" s="1"/>
  <c r="N57" i="2"/>
  <c r="D118" i="4"/>
  <c r="B18" i="22" l="1"/>
  <c r="D120" i="4" s="1"/>
  <c r="B12" i="22"/>
  <c r="B13" i="22" s="1"/>
  <c r="D105" i="4"/>
  <c r="B33" i="13"/>
  <c r="C65" i="2" s="1"/>
  <c r="B18" i="21"/>
  <c r="D112" i="4"/>
  <c r="B19" i="22" l="1"/>
  <c r="D122" i="4" s="1"/>
  <c r="D16" i="4" s="1"/>
  <c r="O65" i="2"/>
  <c r="C71" i="2" s="1"/>
  <c r="N65" i="2"/>
  <c r="B19" i="21"/>
  <c r="D115" i="4" s="1"/>
  <c r="D15" i="4" s="1"/>
  <c r="B14" i="30" s="1"/>
  <c r="D113" i="4"/>
  <c r="D106" i="4"/>
  <c r="B34" i="13"/>
  <c r="D108" i="4" s="1"/>
  <c r="B13" i="30" l="1"/>
  <c r="D14" i="4"/>
  <c r="E16" i="4"/>
  <c r="B15" i="30"/>
  <c r="E15" i="4"/>
  <c r="E71" i="2"/>
  <c r="E96" i="2" s="1"/>
  <c r="C72" i="2"/>
  <c r="C79" i="2" s="1"/>
  <c r="C81" i="2"/>
  <c r="C96" i="2"/>
  <c r="C85" i="2"/>
  <c r="E14" i="4"/>
  <c r="C78" i="2" l="1"/>
  <c r="D78" i="2" s="1"/>
  <c r="C80" i="2" s="1"/>
  <c r="E84" i="2"/>
  <c r="C84" i="2"/>
  <c r="D84" i="2" s="1"/>
  <c r="C89" i="2"/>
  <c r="C88" i="2" s="1"/>
  <c r="D88" i="2" s="1"/>
  <c r="E89" i="2"/>
  <c r="E88" i="2" s="1"/>
  <c r="C94" i="2"/>
  <c r="D94" i="2" s="1"/>
  <c r="E85" i="2"/>
  <c r="E94" i="2" s="1"/>
  <c r="D104" i="2" l="1"/>
  <c r="C104" i="2" s="1"/>
  <c r="B4" i="3" s="1"/>
  <c r="D101" i="2"/>
  <c r="F88" i="2"/>
  <c r="F94" i="2"/>
  <c r="F84" i="2"/>
  <c r="D236" i="4" l="1"/>
  <c r="E286" i="5"/>
  <c r="C100" i="2"/>
  <c r="C101" i="2"/>
  <c r="E285" i="5" l="1"/>
  <c r="H285" i="5" s="1"/>
  <c r="D5" i="4"/>
  <c r="E5" i="4" s="1"/>
  <c r="D244" i="4" l="1"/>
  <c r="D26" i="4" s="1"/>
  <c r="B24" i="30" s="1"/>
  <c r="B27" i="30" l="1"/>
  <c r="E26" i="4"/>
  <c r="C34" i="29"/>
  <c r="C13" i="29"/>
  <c r="D262" i="4" s="1"/>
  <c r="C16" i="29"/>
  <c r="B36" i="30" l="1"/>
  <c r="B37" i="30" s="1"/>
  <c r="B38" i="30" s="1"/>
  <c r="D190" i="4"/>
  <c r="D191" i="4" s="1"/>
  <c r="D192" i="4" s="1"/>
  <c r="B28" i="30"/>
  <c r="C18" i="29"/>
  <c r="C25" i="29"/>
  <c r="C15" i="29"/>
  <c r="C22" i="29"/>
  <c r="C27" i="29" l="1"/>
  <c r="D267" i="4" s="1"/>
  <c r="D265" i="4"/>
  <c r="C19" i="29"/>
  <c r="C24" i="29"/>
  <c r="C28" i="29" l="1"/>
  <c r="C30" i="29" s="1"/>
  <c r="D264" i="4"/>
  <c r="C31" i="29" l="1"/>
  <c r="D269" i="4" s="1"/>
  <c r="D28" i="4" s="1"/>
  <c r="D268" i="4"/>
  <c r="E28" i="4" l="1"/>
  <c r="D189" i="4"/>
  <c r="D22" i="4" s="1"/>
  <c r="D30" i="4" l="1"/>
  <c r="E22" i="4"/>
</calcChain>
</file>

<file path=xl/comments1.xml><?xml version="1.0" encoding="utf-8"?>
<comments xmlns="http://schemas.openxmlformats.org/spreadsheetml/2006/main" xmlns:mc="http://schemas.openxmlformats.org/markup-compatibility/2006" xmlns:xr="http://schemas.microsoft.com/office/spreadsheetml/2014/revision" mc:Ignorable="xr">
  <authors>
    <author>NERINCKX Xavier</author>
    <author>tc={4B740EBE-1283-4983-B2E3-9D505A1BFDA0}</author>
    <author>tc={B5410B86-45BB-488C-941A-AE88A10B5FA1}</author>
  </authors>
  <commentList>
    <comment ref="C48" authorId="0" shapeId="0" xr:uid="{BA3F6DE3-0506-460A-A15D-11CCB3F84974}">
      <text>
        <r>
          <rPr>
            <b/>
            <sz val="9"/>
            <color indexed="81"/>
            <rFont val="Tahoma"/>
            <family val="2"/>
          </rPr>
          <t>NERINCKX Xavier:</t>
        </r>
        <r>
          <rPr>
            <sz val="9"/>
            <color indexed="81"/>
            <rFont val="Tahoma"/>
            <family val="2"/>
          </rPr>
          <t xml:space="preserve">
Cerises-prunes-pommes-poires</t>
        </r>
      </text>
    </comment>
    <comment ref="D77" authorId="1" shapeId="0" xr:uid="{4B740EBE-1283-4983-B2E3-9D505A1BFDA0}">
      <text>
        <t>[Commentaire à thread]
Votre version d’Excel vous permet de lire ce commentaire à thread. Toutefois, les modifications qui y sont apportées seront supprimées si le fichier est ouvert dans une version plus récente d’Excel. En savoir plus : https://go.microsoft.com/fwlink/?linkid=870924
[Tâches]
Une tâche ancrée à ce commentaire ne peut pas être affichée dans votre client.
Commentaire :
    @PEREZ RUIZ Alvaro, la charge doit être réduite à deux décimales</t>
      </text>
    </comment>
    <comment ref="C216" authorId="0" shapeId="0" xr:uid="{4A31F80D-DFC7-4072-ABB2-4F42DE86FA10}">
      <text>
        <r>
          <rPr>
            <b/>
            <sz val="9"/>
            <color indexed="81"/>
            <rFont val="Tahoma"/>
            <family val="2"/>
          </rPr>
          <t>NERINCKX Xavier:</t>
        </r>
        <r>
          <rPr>
            <sz val="9"/>
            <color indexed="81"/>
            <rFont val="Tahoma"/>
            <family val="2"/>
          </rPr>
          <t xml:space="preserve">
542 - Mélange de printemps de légumineuses prépondérantes  (plus de 50%) et  de céréales ou autres espèces</t>
        </r>
      </text>
    </comment>
    <comment ref="C217" authorId="0" shapeId="0" xr:uid="{1832E6AD-E2FE-498B-9CEF-019928DAAB3A}">
      <text>
        <r>
          <rPr>
            <b/>
            <sz val="9"/>
            <color indexed="81"/>
            <rFont val="Tahoma"/>
            <family val="2"/>
          </rPr>
          <t>NERINCKX Xavier:</t>
        </r>
        <r>
          <rPr>
            <sz val="9"/>
            <color indexed="81"/>
            <rFont val="Tahoma"/>
            <family val="2"/>
          </rPr>
          <t xml:space="preserve">
541 - Mélange d'hiver de légumineuses prépondérantes  (plus de 50%) et de céréales ou autres espèces</t>
        </r>
      </text>
    </comment>
    <comment ref="D239" authorId="2" shapeId="0" xr:uid="{B5410B86-45BB-488C-941A-AE88A10B5FA1}">
      <text>
        <t>[Commentaire à thread]
Votre version d’Excel vous permet de lire ce commentaire à thread. Toutefois, les modifications qui y sont apportées seront supprimées si le fichier est ouvert dans une version plus récente d’Excel. En savoir plus : https://go.microsoft.com/fwlink/?linkid=870924
Commentaire :
    @PEREZ RUIZ Alvaro : L'avoine (ligne 92) n'est pas prise en compte dans les formules =&gt; Les calculs des lignes 240 à 244 ont été étendus sur base des lignes 92 à 236
Réponse :
    @PEREZ RUIZ Alvaro : ATTENTION, le prorata ne se calcule pas sur la superficie =&gt; Calcul à adapter comme suit : =(SOMME.SI($D$93:$E$236;1;E93:E236))-D87</t>
      </text>
    </comment>
  </commentList>
</comments>
</file>

<file path=xl/comments10.xml><?xml version="1.0" encoding="utf-8"?>
<comments xmlns="http://schemas.openxmlformats.org/spreadsheetml/2006/main" xmlns:mc="http://schemas.openxmlformats.org/markup-compatibility/2006" xmlns:xr="http://schemas.microsoft.com/office/spreadsheetml/2014/revision" mc:Ignorable="xr">
  <authors>
    <author>JACQUEMIN Ingrid</author>
  </authors>
  <commentList>
    <comment ref="B10" authorId="0" shapeId="0" xr:uid="{E1F852B9-02C9-4A4A-A727-B51FA43B7C22}">
      <text>
        <r>
          <rPr>
            <b/>
            <sz val="9"/>
            <color indexed="81"/>
            <rFont val="Tahoma"/>
            <family val="2"/>
          </rPr>
          <t>JACQUEMIN Ingrid:</t>
        </r>
        <r>
          <rPr>
            <sz val="9"/>
            <color indexed="81"/>
            <rFont val="Tahoma"/>
            <family val="2"/>
          </rPr>
          <t xml:space="preserve">
Attention, changement de formule!</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NERINCKX Xavier</author>
  </authors>
  <commentList>
    <comment ref="C6" authorId="0" shapeId="0" xr:uid="{A923D3C0-D233-462A-8434-42F725AB1AAD}">
      <text>
        <r>
          <rPr>
            <b/>
            <sz val="9"/>
            <color indexed="81"/>
            <rFont val="Tahoma"/>
            <family val="2"/>
          </rPr>
          <t>NERINCKX Xavier:</t>
        </r>
        <r>
          <rPr>
            <sz val="9"/>
            <color indexed="81"/>
            <rFont val="Tahoma"/>
            <family val="2"/>
          </rPr>
          <t xml:space="preserve">
542 - Mélange de printemps de légumineuses prépondérantes  (plus de 50%) et  de céréales ou autres espèces</t>
        </r>
      </text>
    </comment>
    <comment ref="C7" authorId="0" shapeId="0" xr:uid="{95F0FF35-E639-40F2-B1EB-7AFAC3AE5614}">
      <text>
        <r>
          <rPr>
            <b/>
            <sz val="9"/>
            <color indexed="81"/>
            <rFont val="Tahoma"/>
            <family val="2"/>
          </rPr>
          <t>NERINCKX Xavier:</t>
        </r>
        <r>
          <rPr>
            <sz val="9"/>
            <color indexed="81"/>
            <rFont val="Tahoma"/>
            <family val="2"/>
          </rPr>
          <t xml:space="preserve">
541 - Mélange d'hiver de légumineuses prépondérantes  (plus de 50%) et de céréales ou autres espèces</t>
        </r>
      </text>
    </comment>
    <comment ref="A32" authorId="0" shapeId="0" xr:uid="{46E5ABFC-CF05-4AF7-8022-B9102B9FD22F}">
      <text>
        <r>
          <rPr>
            <b/>
            <sz val="9"/>
            <color indexed="81"/>
            <rFont val="Tahoma"/>
            <family val="2"/>
          </rPr>
          <t>NERINCKX Xavier:</t>
        </r>
        <r>
          <rPr>
            <sz val="9"/>
            <color indexed="81"/>
            <rFont val="Tahoma"/>
            <family val="2"/>
          </rPr>
          <t xml:space="preserve">
Cerises-prunes-pommes-poires</t>
        </r>
      </text>
    </comment>
    <comment ref="O127" authorId="0" shapeId="0" xr:uid="{82CDD857-8421-420E-B1B3-FEE43FBDA828}">
      <text>
        <r>
          <rPr>
            <b/>
            <sz val="9"/>
            <color indexed="81"/>
            <rFont val="Tahoma"/>
            <family val="2"/>
          </rPr>
          <t>NERINCKX Xavier:</t>
        </r>
        <r>
          <rPr>
            <sz val="9"/>
            <color indexed="81"/>
            <rFont val="Tahoma"/>
            <family val="2"/>
          </rPr>
          <t xml:space="preserve">
542 - Mélange de printemps de légumineuses prépondérantes  (plus de 50%) et  de céréales ou autres espèces</t>
        </r>
      </text>
    </comment>
    <comment ref="O128" authorId="0" shapeId="0" xr:uid="{64B06449-D16C-40B3-A5D3-84E4513754D7}">
      <text>
        <r>
          <rPr>
            <b/>
            <sz val="9"/>
            <color indexed="81"/>
            <rFont val="Tahoma"/>
            <family val="2"/>
          </rPr>
          <t>NERINCKX Xavier:</t>
        </r>
        <r>
          <rPr>
            <sz val="9"/>
            <color indexed="81"/>
            <rFont val="Tahoma"/>
            <family val="2"/>
          </rPr>
          <t xml:space="preserve">
541 - Mélange d'hiver de légumineuses prépondérantes  (plus de 50%) et de céréales ou autres espèces</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NERINCKX Xavier</author>
  </authors>
  <commentList>
    <comment ref="C12" authorId="0" shapeId="0" xr:uid="{ED958F4A-943A-4BF6-A5F6-F010542840BD}">
      <text>
        <r>
          <rPr>
            <b/>
            <sz val="9"/>
            <color indexed="81"/>
            <rFont val="Tahoma"/>
            <family val="2"/>
          </rPr>
          <t>NERINCKX Xavier:</t>
        </r>
        <r>
          <rPr>
            <sz val="9"/>
            <color indexed="81"/>
            <rFont val="Tahoma"/>
            <family val="2"/>
          </rPr>
          <t xml:space="preserve">
Pour 1/3 par PP
Encoder =100/3</t>
        </r>
      </text>
    </comment>
    <comment ref="C34" authorId="0" shapeId="0" xr:uid="{7B34413A-3A26-4FF0-990A-F77FAF08E43F}">
      <text>
        <r>
          <rPr>
            <b/>
            <sz val="9"/>
            <color indexed="81"/>
            <rFont val="Tahoma"/>
            <family val="2"/>
          </rPr>
          <t>NERINCKX Xavier:</t>
        </r>
        <r>
          <rPr>
            <sz val="9"/>
            <color indexed="81"/>
            <rFont val="Tahoma"/>
            <family val="2"/>
          </rPr>
          <t xml:space="preserve">
Pour 1/3 par PP
Encoder =100/3</t>
        </r>
      </text>
    </comment>
    <comment ref="C56" authorId="0" shapeId="0" xr:uid="{7FCD5AE0-0597-486E-92D2-D174D3474194}">
      <text>
        <r>
          <rPr>
            <b/>
            <sz val="9"/>
            <color indexed="81"/>
            <rFont val="Tahoma"/>
            <family val="2"/>
          </rPr>
          <t>NERINCKX Xavier:</t>
        </r>
        <r>
          <rPr>
            <sz val="9"/>
            <color indexed="81"/>
            <rFont val="Tahoma"/>
            <family val="2"/>
          </rPr>
          <t xml:space="preserve">
Pour 1/3 par PP
Encoder =100/3</t>
        </r>
      </text>
    </comment>
    <comment ref="C84" authorId="0" shapeId="0" xr:uid="{57743CA6-4F37-49C3-A2FE-2E05452F5F2F}">
      <text>
        <r>
          <rPr>
            <b/>
            <sz val="9"/>
            <color indexed="81"/>
            <rFont val="Tahoma"/>
            <family val="2"/>
          </rPr>
          <t>NERINCKX Xavier:</t>
        </r>
        <r>
          <rPr>
            <sz val="9"/>
            <color indexed="81"/>
            <rFont val="Tahoma"/>
            <family val="2"/>
          </rPr>
          <t xml:space="preserve">
Pour 1/3 par PP
Encoder =100/3</t>
        </r>
      </text>
    </comment>
    <comment ref="M86" authorId="0" shapeId="0" xr:uid="{15C7B92F-AFD8-4F67-AE1F-1A739D68CABC}">
      <text>
        <r>
          <rPr>
            <b/>
            <sz val="9"/>
            <color indexed="81"/>
            <rFont val="Tahoma"/>
            <family val="2"/>
          </rPr>
          <t>NERINCKX Xavier:</t>
        </r>
        <r>
          <rPr>
            <sz val="9"/>
            <color indexed="81"/>
            <rFont val="Tahoma"/>
            <family val="2"/>
          </rPr>
          <t xml:space="preserve">
Cerises-prunes-pommes-poires</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NERINCKX Xavier</author>
  </authors>
  <commentList>
    <comment ref="A11" authorId="0" shapeId="0" xr:uid="{CD5D8D91-E708-4B6F-986F-BB56EA85EB44}">
      <text>
        <r>
          <rPr>
            <b/>
            <sz val="9"/>
            <color indexed="81"/>
            <rFont val="Tahoma"/>
            <family val="2"/>
          </rPr>
          <t>NERINCKX Xavier:</t>
        </r>
        <r>
          <rPr>
            <sz val="9"/>
            <color indexed="81"/>
            <rFont val="Tahoma"/>
            <family val="2"/>
          </rPr>
          <t xml:space="preserve">
542 - Mélange de printemps de légumineuses prépondérantes  (plus de 50%) et  de céréales ou autres espèces</t>
        </r>
      </text>
    </comment>
    <comment ref="A12" authorId="0" shapeId="0" xr:uid="{51BCED8C-2C32-45C9-983F-1112D2CE128B}">
      <text>
        <r>
          <rPr>
            <b/>
            <sz val="9"/>
            <color indexed="81"/>
            <rFont val="Tahoma"/>
            <family val="2"/>
          </rPr>
          <t>NERINCKX Xavier:</t>
        </r>
        <r>
          <rPr>
            <sz val="9"/>
            <color indexed="81"/>
            <rFont val="Tahoma"/>
            <family val="2"/>
          </rPr>
          <t xml:space="preserve">
541 - Mélange d'hiver de légumineuses prépondérantes  (plus de 50%) et de céréales ou autres espèces</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NERINCKX Xavier</author>
    <author>tc={9AF14C14-9BFA-46EE-964F-813C3F7F6A1B}</author>
    <author>tc={51094C81-4807-4BA0-9C44-5C02C96446CC}</author>
    <author>PEREZ RUIZ Alvaro</author>
    <author>JACQUEMIN Ingrid</author>
    <author>tc={B3F6A302-261C-4FDE-8A5D-3C3B1801686C}</author>
  </authors>
  <commentList>
    <comment ref="N18" authorId="0" shapeId="0" xr:uid="{BBE3B1B3-FA03-4EC4-8750-ADACEAE8B9CD}">
      <text>
        <r>
          <rPr>
            <b/>
            <sz val="9"/>
            <color indexed="81"/>
            <rFont val="Tahoma"/>
            <family val="2"/>
          </rPr>
          <t>NERINCKX Xavier:</t>
        </r>
        <r>
          <rPr>
            <sz val="9"/>
            <color indexed="81"/>
            <rFont val="Tahoma"/>
            <family val="2"/>
          </rPr>
          <t xml:space="preserve">
542 - Mélange de printemps de légumineuses prépondérantes  (plus de 50%) et  de céréales ou autres espèces</t>
        </r>
      </text>
    </comment>
    <comment ref="N19" authorId="0" shapeId="0" xr:uid="{CD71E290-FC72-4937-9D26-FE83551D145D}">
      <text>
        <r>
          <rPr>
            <b/>
            <sz val="9"/>
            <color indexed="81"/>
            <rFont val="Tahoma"/>
            <family val="2"/>
          </rPr>
          <t>NERINCKX Xavier:</t>
        </r>
        <r>
          <rPr>
            <sz val="9"/>
            <color indexed="81"/>
            <rFont val="Tahoma"/>
            <family val="2"/>
          </rPr>
          <t xml:space="preserve">
541 - Mélange d'hiver de légumineuses prépondérantes  (plus de 50%) et de céréales ou autres espèces</t>
        </r>
      </text>
    </comment>
    <comment ref="B22" authorId="0" shapeId="0" xr:uid="{4D54FD60-6AC8-41C2-B88D-7504F683EC37}">
      <text>
        <r>
          <rPr>
            <b/>
            <sz val="9"/>
            <color indexed="81"/>
            <rFont val="Tahoma"/>
            <family val="2"/>
          </rPr>
          <t>NERINCKX Xavier:</t>
        </r>
        <r>
          <rPr>
            <sz val="9"/>
            <color indexed="81"/>
            <rFont val="Tahoma"/>
            <family val="2"/>
          </rPr>
          <t xml:space="preserve">
542 - Mélange de printemps de légumineuses prépondérantes  (plus de 50%) et  de céréales ou autres espèces</t>
        </r>
      </text>
    </comment>
    <comment ref="B23" authorId="0" shapeId="0" xr:uid="{CCFFE708-0715-4D64-B33D-2C0AAE87CF9E}">
      <text>
        <r>
          <rPr>
            <b/>
            <sz val="9"/>
            <color indexed="81"/>
            <rFont val="Tahoma"/>
            <family val="2"/>
          </rPr>
          <t>NERINCKX Xavier:</t>
        </r>
        <r>
          <rPr>
            <sz val="9"/>
            <color indexed="81"/>
            <rFont val="Tahoma"/>
            <family val="2"/>
          </rPr>
          <t xml:space="preserve">
541 - Mélange d'hiver de légumineuses prépondérantes  (plus de 50%) et de céréales ou autres espèces</t>
        </r>
      </text>
    </comment>
    <comment ref="N24" authorId="0" shapeId="0" xr:uid="{D08C4532-53E7-4152-824A-DBD63C9DCC2E}">
      <text>
        <r>
          <rPr>
            <b/>
            <sz val="9"/>
            <color indexed="81"/>
            <rFont val="Tahoma"/>
            <family val="2"/>
          </rPr>
          <t>NERINCKX Xavier:</t>
        </r>
        <r>
          <rPr>
            <sz val="9"/>
            <color indexed="81"/>
            <rFont val="Tahoma"/>
            <family val="2"/>
          </rPr>
          <t xml:space="preserve">
Cerises-prunes-pommes-poires</t>
        </r>
      </text>
    </comment>
    <comment ref="B28" authorId="0" shapeId="0" xr:uid="{8BFFF35D-8991-4A19-B045-3C317D7B2B5C}">
      <text>
        <r>
          <rPr>
            <b/>
            <sz val="9"/>
            <color indexed="81"/>
            <rFont val="Tahoma"/>
            <family val="2"/>
          </rPr>
          <t>NERINCKX Xavier:</t>
        </r>
        <r>
          <rPr>
            <sz val="9"/>
            <color indexed="81"/>
            <rFont val="Tahoma"/>
            <family val="2"/>
          </rPr>
          <t xml:space="preserve">
Cerises-prunes-pommes-poires</t>
        </r>
      </text>
    </comment>
    <comment ref="G40" authorId="1" shapeId="0" xr:uid="{9AF14C14-9BFA-46EE-964F-813C3F7F6A1B}">
      <text>
        <t>[Commentaire à thread]
Votre version d’Excel vous permet de lire ce commentaire à thread. Toutefois, les modifications qui y sont apportées seront supprimées si le fichier est ouvert dans une version plus récente d’Excel. En savoir plus : https://go.microsoft.com/fwlink/?linkid=870924
Commentaire :
    ta</t>
      </text>
    </comment>
    <comment ref="G41" authorId="2" shapeId="0" xr:uid="{51094C81-4807-4BA0-9C44-5C02C96446CC}">
      <text>
        <t>[Commentaire à thread]
Votre version d’Excel vous permet de lire ce commentaire à thread. Toutefois, les modifications qui y sont apportées seront supprimées si le fichier est ouvert dans une version plus récente d’Excel. En savoir plus : https://go.microsoft.com/fwlink/?linkid=870924
Commentaire :
    sau</t>
      </text>
    </comment>
    <comment ref="N64" authorId="3" shapeId="0" xr:uid="{C18C475D-7C84-4BAD-9B1C-3C8719B66CF2}">
      <text>
        <r>
          <rPr>
            <b/>
            <sz val="9"/>
            <color indexed="81"/>
            <rFont val="Tahoma"/>
            <family val="2"/>
          </rPr>
          <t>PEREZ RUIZ Alvaro:</t>
        </r>
        <r>
          <rPr>
            <sz val="9"/>
            <color indexed="81"/>
            <rFont val="Tahoma"/>
            <family val="2"/>
          </rPr>
          <t xml:space="preserve">
formule différente car décompte déclaré-ukraine</t>
        </r>
      </text>
    </comment>
    <comment ref="C65" authorId="4" shapeId="0" xr:uid="{17B6A713-CE7A-4D18-B78A-59221F5653CB}">
      <text>
        <r>
          <rPr>
            <b/>
            <sz val="9"/>
            <color indexed="81"/>
            <rFont val="Tahoma"/>
            <family val="2"/>
          </rPr>
          <t>JACQUEMIN Ingrid:</t>
        </r>
        <r>
          <rPr>
            <sz val="9"/>
            <color indexed="81"/>
            <rFont val="Tahoma"/>
            <family val="2"/>
          </rPr>
          <t xml:space="preserve">
Attention à la formule!</t>
        </r>
      </text>
    </comment>
    <comment ref="C68" authorId="4" shapeId="0" xr:uid="{4901EDE4-B302-4E80-AF2D-4FA8561CF464}">
      <text>
        <r>
          <rPr>
            <b/>
            <sz val="9"/>
            <color indexed="81"/>
            <rFont val="Tahoma"/>
            <family val="2"/>
          </rPr>
          <t>JACQUEMIN Ingrid:</t>
        </r>
        <r>
          <rPr>
            <sz val="9"/>
            <color indexed="81"/>
            <rFont val="Tahoma"/>
            <family val="2"/>
          </rPr>
          <t xml:space="preserve">
</t>
        </r>
      </text>
    </comment>
    <comment ref="E100" authorId="5" shapeId="0" xr:uid="{B3F6A302-261C-4FDE-8A5D-3C3B1801686C}">
      <text>
        <t>[Commentaire à thread]
Votre version d’Excel vous permet de lire ce commentaire à thread. Toutefois, les modifications qui y sont apportées seront supprimées si le fichier est ouvert dans une version plus récente d’Excel. En savoir plus : https://go.microsoft.com/fwlink/?linkid=870924
Commentaire :
    @FAUX Philippe-François, l'objectif est de mettre une condition supplementaire pour l'ER ME avec la jachère dérogée? si oui, alors il faut que le respect bcae 8  soit de type 1(jachère dérogée)*(somme des autres) &gt;1
Réponse :
    j'ai distingué 2 choses : respect BCAE 8 (cellule C102 ; incluant dérogation jachères) et éligibilité ER maillage (cellule C105)
Réponse :
    normalement, c'est ok. J'ai fait 2-3 tests et ça a l'air de fonctionner correctement.</t>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JACQUEMIN Ingrid</author>
  </authors>
  <commentList>
    <comment ref="B17" authorId="0" shapeId="0" xr:uid="{B69C1242-4457-4797-AE72-60E7E4048A55}">
      <text>
        <r>
          <rPr>
            <b/>
            <sz val="9"/>
            <color indexed="81"/>
            <rFont val="Tahoma"/>
            <family val="2"/>
          </rPr>
          <t>JACQUEMIN Ingrid:</t>
        </r>
        <r>
          <rPr>
            <sz val="9"/>
            <color indexed="81"/>
            <rFont val="Tahoma"/>
            <family val="2"/>
          </rPr>
          <t xml:space="preserve">
Attention à ne pas étirer cette cellule.</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NERINCKX Xavier</author>
  </authors>
  <commentList>
    <comment ref="R10" authorId="0" shapeId="0" xr:uid="{2518DFEE-2947-4B54-A155-79F819803E44}">
      <text>
        <r>
          <rPr>
            <b/>
            <sz val="9"/>
            <color indexed="81"/>
            <rFont val="Tahoma"/>
            <family val="2"/>
          </rPr>
          <t>NERINCKX Xavier:</t>
        </r>
        <r>
          <rPr>
            <sz val="9"/>
            <color indexed="81"/>
            <rFont val="Tahoma"/>
            <family val="2"/>
          </rPr>
          <t xml:space="preserve">
Cerises-prunes-pommes-poires</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NERINCKX Xavier</author>
  </authors>
  <commentList>
    <comment ref="A19" authorId="0" shapeId="0" xr:uid="{57363D4A-30E8-400C-85A8-BD4C86C27463}">
      <text>
        <r>
          <rPr>
            <b/>
            <sz val="9"/>
            <color indexed="81"/>
            <rFont val="Tahoma"/>
            <family val="2"/>
          </rPr>
          <t>NERINCKX Xavier:</t>
        </r>
        <r>
          <rPr>
            <sz val="9"/>
            <color indexed="81"/>
            <rFont val="Tahoma"/>
            <family val="2"/>
          </rPr>
          <t xml:space="preserve">
Cerises-prunes-pommes-poires</t>
        </r>
      </text>
    </comment>
  </commentList>
</comments>
</file>

<file path=xl/comments9.xml><?xml version="1.0" encoding="utf-8"?>
<comments xmlns="http://schemas.openxmlformats.org/spreadsheetml/2006/main" xmlns:mc="http://schemas.openxmlformats.org/markup-compatibility/2006" xmlns:xr="http://schemas.microsoft.com/office/spreadsheetml/2014/revision" mc:Ignorable="xr">
  <authors>
    <author>NERINCKX Xavier</author>
  </authors>
  <commentList>
    <comment ref="A20" authorId="0" shapeId="0" xr:uid="{91791755-572D-47F5-B5AF-F93B252573C4}">
      <text>
        <r>
          <rPr>
            <b/>
            <sz val="9"/>
            <color indexed="81"/>
            <rFont val="Tahoma"/>
            <family val="2"/>
          </rPr>
          <t>NERINCKX Xavier:</t>
        </r>
        <r>
          <rPr>
            <sz val="9"/>
            <color indexed="81"/>
            <rFont val="Tahoma"/>
            <family val="2"/>
          </rPr>
          <t xml:space="preserve">
Cerises-prunes-pommes-poires</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<sst xmlns="http://schemas.openxmlformats.org/spreadsheetml/2006/main" count="2903" uniqueCount="1451">
  <si>
    <t xml:space="preserve">CAMPAGNE 2023 - SIMULATEUR D'AIDE A LA DECISION
</t>
  </si>
  <si>
    <t xml:space="preserve">Ce simulateur est composé de plusieurs feuilles qui sont présentées dans le tableau ci-dessous. </t>
  </si>
  <si>
    <r>
      <t xml:space="preserve">Le simulateur propose une estimation de vos primes sur base des données de superficie (globale) que vous fournissez ; 
bien que nous ne puissions </t>
    </r>
    <r>
      <rPr>
        <b/>
        <u/>
        <sz val="12"/>
        <color rgb="FFFF0000"/>
        <rFont val="Calibri"/>
        <family val="2"/>
        <scheme val="minor"/>
      </rPr>
      <t>pas garantir l'exactitude des montants</t>
    </r>
    <r>
      <rPr>
        <b/>
        <sz val="12"/>
        <color rgb="FFFF0000"/>
        <rFont val="Calibri"/>
        <family val="2"/>
        <scheme val="minor"/>
      </rPr>
      <t xml:space="preserve"> ils peuvent vous guider pour </t>
    </r>
    <r>
      <rPr>
        <b/>
        <u/>
        <sz val="12"/>
        <color rgb="FFFF0000"/>
        <rFont val="Calibri"/>
        <family val="2"/>
        <scheme val="minor"/>
      </rPr>
      <t>orienter au mieux vos choix.</t>
    </r>
  </si>
  <si>
    <t>1. Introduction</t>
  </si>
  <si>
    <t>Reprend des informations générales sur le présent simulateur et les régimes d'aide proposés.</t>
  </si>
  <si>
    <t>2. Vos données</t>
  </si>
  <si>
    <t>Dans cette partie, veuillez encoder les données relatives à votre exploitation (surfaces, animaux,…) et choisir les régimes d'aide à simuler.</t>
  </si>
  <si>
    <t>3. Vos résultats</t>
  </si>
  <si>
    <t>Dans cette partie, vous pourrez lire vos résultats et les principales informations concernant les estimations de vos primes.</t>
  </si>
  <si>
    <t>Mode d'emploi et dernière version</t>
  </si>
  <si>
    <t>Cliquez ici pour ouvrir le site web pour la dernière version et le mode d'emploi</t>
  </si>
  <si>
    <t>Veuillez encoder vos données dans les différents tableaux dans l'onglet vos données</t>
  </si>
  <si>
    <r>
      <t xml:space="preserve">     Veuillez </t>
    </r>
    <r>
      <rPr>
        <b/>
        <sz val="13"/>
        <color rgb="FFFF0000"/>
        <rFont val="Calibri"/>
        <family val="2"/>
        <scheme val="minor"/>
      </rPr>
      <t>obligatoirement encoder</t>
    </r>
    <r>
      <rPr>
        <sz val="13"/>
        <color theme="1"/>
        <rFont val="Calibri"/>
        <family val="2"/>
        <scheme val="minor"/>
      </rPr>
      <t xml:space="preserve"> vos données dans les </t>
    </r>
    <r>
      <rPr>
        <sz val="13"/>
        <color rgb="FFFF0000"/>
        <rFont val="Calibri"/>
        <family val="2"/>
        <scheme val="minor"/>
      </rPr>
      <t>cases oranges</t>
    </r>
    <r>
      <rPr>
        <sz val="13"/>
        <color theme="1"/>
        <rFont val="Calibri"/>
        <family val="2"/>
        <scheme val="minor"/>
      </rPr>
      <t>.</t>
    </r>
  </si>
  <si>
    <t>à encoder</t>
  </si>
  <si>
    <r>
      <t xml:space="preserve">     Si nécessaire, veuillez </t>
    </r>
    <r>
      <rPr>
        <b/>
        <sz val="13"/>
        <color rgb="FFFF0000"/>
        <rFont val="Calibri"/>
        <family val="2"/>
        <scheme val="minor"/>
      </rPr>
      <t>encoder</t>
    </r>
    <r>
      <rPr>
        <sz val="13"/>
        <color theme="1"/>
        <rFont val="Calibri"/>
        <family val="2"/>
        <scheme val="minor"/>
      </rPr>
      <t xml:space="preserve"> vos données dans les </t>
    </r>
    <r>
      <rPr>
        <sz val="13"/>
        <color rgb="FFFF0000"/>
        <rFont val="Calibri"/>
        <family val="2"/>
        <scheme val="minor"/>
      </rPr>
      <t>cases jaunes</t>
    </r>
    <r>
      <rPr>
        <sz val="13"/>
        <color theme="1"/>
        <rFont val="Calibri"/>
        <family val="2"/>
        <scheme val="minor"/>
      </rPr>
      <t>.</t>
    </r>
  </si>
  <si>
    <r>
      <t xml:space="preserve">     Veuillez</t>
    </r>
    <r>
      <rPr>
        <b/>
        <sz val="13"/>
        <color rgb="FFFF0000"/>
        <rFont val="Calibri"/>
        <family val="2"/>
        <scheme val="minor"/>
      </rPr>
      <t xml:space="preserve"> vérifier</t>
    </r>
    <r>
      <rPr>
        <sz val="13"/>
        <color theme="1"/>
        <rFont val="Calibri"/>
        <family val="2"/>
        <scheme val="minor"/>
      </rPr>
      <t xml:space="preserve"> les valeurs calculées dans les </t>
    </r>
    <r>
      <rPr>
        <sz val="13"/>
        <color rgb="FFFF0000"/>
        <rFont val="Calibri"/>
        <family val="2"/>
        <scheme val="minor"/>
      </rPr>
      <t>cases grise</t>
    </r>
    <r>
      <rPr>
        <sz val="13"/>
        <color theme="1"/>
        <rFont val="Calibri"/>
        <family val="2"/>
        <scheme val="minor"/>
      </rPr>
      <t>.
     Si vous souhaitez modifier ces valeurs, veuillez modifier les données encodées précédemment.</t>
    </r>
  </si>
  <si>
    <t>calculé automatiquement (à vérifier)</t>
  </si>
  <si>
    <r>
      <t>Les informations que vous complétez ci-dessous sont celles de</t>
    </r>
    <r>
      <rPr>
        <b/>
        <i/>
        <sz val="12"/>
        <color rgb="FFFF0000"/>
        <rFont val="Calibri"/>
        <family val="2"/>
        <scheme val="minor"/>
      </rPr>
      <t xml:space="preserve"> l'année 2023</t>
    </r>
    <r>
      <rPr>
        <i/>
        <sz val="12"/>
        <color theme="1"/>
        <rFont val="Calibri"/>
        <family val="2"/>
        <scheme val="minor"/>
      </rPr>
      <t xml:space="preserve">. </t>
    </r>
  </si>
  <si>
    <t xml:space="preserve">Pour information, les codes cultures apparaissent le cas échéant entre crochets […] après le nom de la culture, ci-dessous. </t>
  </si>
  <si>
    <t xml:space="preserve">Dans la feuille "2. VOS DONNEES", veuillez encoder vos surfaces avec l'aide des menus déroulants. disponibles en cliquant sur la cellule concernée : </t>
  </si>
  <si>
    <t>En cliquant sur une cellule, la petite flèche à droite vous permettra d'afficher le menu.</t>
  </si>
  <si>
    <t>CAMPAGNE 2023 - SIMULATEUR D'AIDE A LA DECISION</t>
  </si>
  <si>
    <t>Version du</t>
  </si>
  <si>
    <t xml:space="preserve">PARTIE 1 - RENSEIGNEMENTS GÉNÉRAUX SUR VOTRE EXPLOITATION : </t>
  </si>
  <si>
    <t>INFORMATIONS</t>
  </si>
  <si>
    <t>1.1 Sur les superficies</t>
  </si>
  <si>
    <t>Superficie totale de l'exploitation en Wallonie</t>
  </si>
  <si>
    <t>De prairies permanentes [600 à 670]</t>
  </si>
  <si>
    <t>Veuillez indiquer ici toutes les prairies permanentes de votre exploitation à savoir celles qui portent les codes suivants: 600-608-610-614-618-670.</t>
  </si>
  <si>
    <t>De terres arables (y compris prairies temporaires)</t>
  </si>
  <si>
    <t>De cultures permanentes</t>
  </si>
  <si>
    <t>Le total des TA encodées (y compris prairies temporaires) est de:</t>
  </si>
  <si>
    <t>Erreurs d'encodage</t>
  </si>
  <si>
    <t>1.2. Sur les superficies en Région flamande ou à l'étranger (FR,DE,LUX)</t>
  </si>
  <si>
    <t>De fourrages sur parcelles transfrontalières ou en Région flamande</t>
  </si>
  <si>
    <t>Les superficies transfrontalières ou flamandes ne sont pas comptabilisées pour la prime, mais elles sont comptabilisées pour déterminer la charge en bétail de votre exploitation.</t>
  </si>
  <si>
    <t>1.3. Sur les personne(s) physique(s)</t>
  </si>
  <si>
    <t xml:space="preserve">Votre exploitation est-elle un groupement de personnes physiques ou une association sans personnalité juridique ou une association de cotitulaires époux ? </t>
  </si>
  <si>
    <t>OUI</t>
  </si>
  <si>
    <t xml:space="preserve">La réponse à cette question est utile afin de pouvoir "déplafonner" (appliquer le plafond au niveau de la personne physique membre) certaines de vos aides. </t>
  </si>
  <si>
    <r>
      <t>Ci-dessous, pour chacune des personnes physiques de votre exploitation, veuillez renseigner :</t>
    </r>
    <r>
      <rPr>
        <b/>
        <sz val="11"/>
        <color rgb="FFFF0000"/>
        <rFont val="Calibri"/>
        <family val="2"/>
        <scheme val="minor"/>
      </rPr>
      <t xml:space="preserve"> </t>
    </r>
  </si>
  <si>
    <t>Etes-vous indépendant à titre principal ou conjoint aidant?</t>
  </si>
  <si>
    <t>Cliquez ici pour voir la fiche "paiement redistributif"</t>
  </si>
  <si>
    <t>% de parts ?</t>
  </si>
  <si>
    <t>Jeune ?</t>
  </si>
  <si>
    <t xml:space="preserve">Le jeune agriculteur a moins de 41 ans et est installé depuis moins de 5 ans le jour de sa première demande d'aide "jeune agriculteur", a une formation à orientation agricole ou agronomique, et possède un contrôle effectif et durable sur l'exploitation agricole. </t>
  </si>
  <si>
    <t>Personne Physique 1</t>
  </si>
  <si>
    <t>Cliquez ici pour voir la fiche "jeune agriculteur"</t>
  </si>
  <si>
    <t>Personne Physique 2</t>
  </si>
  <si>
    <t>L’aide complémentaire au revenu pour les jeunes agriculteurs est également octroyée aux agriculteurs qui ont bénéficié de l'aide "jeune agriculteur" pendant la période 2015-2022 pour le restant de la période de 5 années consécutives sans devoir répondre aux nouvelles exigences de cette intervention (cfr. définition du jeune agriculteur).</t>
  </si>
  <si>
    <t>Personne Physique 3</t>
  </si>
  <si>
    <t>NON</t>
  </si>
  <si>
    <t>Personne Physique 4</t>
  </si>
  <si>
    <t>Le déplafonnement de l’aide complémentaire au revenu pour les jeunes agriculteurs ne s'applique pas dans le cadre d'une exploitation ayant déjà perçu cette aide au cours de la programmation 2015-2022.</t>
  </si>
  <si>
    <t>Personne Physique 5</t>
  </si>
  <si>
    <t>Personne Physique 6</t>
  </si>
  <si>
    <t>Ce simulateur ne prend en compte que vos superficies en Région Wallonne, mais, à terme, les superficies flamandes pourront également l'être pour les aides complémentaires au revenu (paiement redistributif et paiement jeune agriculteur).</t>
  </si>
  <si>
    <t>Sur base des données encodées ci-dessus : vous avez encodé ce nombre de personne(s) physique(s):</t>
  </si>
  <si>
    <r>
      <rPr>
        <i/>
        <sz val="11"/>
        <color theme="0"/>
        <rFont val="Calibri"/>
        <family val="2"/>
        <scheme val="minor"/>
      </rPr>
      <t xml:space="preserve">Sur base des données encodées ci-dessus, </t>
    </r>
    <r>
      <rPr>
        <i/>
        <sz val="11"/>
        <color theme="1"/>
        <rFont val="Calibri"/>
        <family val="2"/>
        <scheme val="minor"/>
      </rPr>
      <t xml:space="preserve">vous avez encodé ce pourcentage total de parts : </t>
    </r>
  </si>
  <si>
    <r>
      <rPr>
        <i/>
        <sz val="11"/>
        <color theme="0"/>
        <rFont val="Calibri"/>
        <family val="2"/>
        <scheme val="minor"/>
      </rPr>
      <t xml:space="preserve">Sur base des données encodées ci-dessus, </t>
    </r>
    <r>
      <rPr>
        <i/>
        <sz val="11"/>
        <color theme="1"/>
        <rFont val="Calibri"/>
        <family val="2"/>
        <scheme val="minor"/>
      </rPr>
      <t xml:space="preserve">vous avez encodé ce nombre de jeune(s) agriculteur(s) : </t>
    </r>
  </si>
  <si>
    <t>1.4. Sur les Droits au Paiement de Base</t>
  </si>
  <si>
    <t xml:space="preserve">Pour les droits que vous comptez activer en 2023, veuillez indiquer leur(s) valeur(s) 
et leur(s) nombre (s) : </t>
  </si>
  <si>
    <t>Valeur</t>
  </si>
  <si>
    <t>Nombre</t>
  </si>
  <si>
    <t>Pour la colonne "Nombre", veuillez faire la somme des droits pour les DPB d'une même valeur. 
Si vous ne connaissez pas le détail de vos DPB, veuillez noter la valeur moyenne dans la 1ère valeur de DPB.</t>
  </si>
  <si>
    <t xml:space="preserve"> 1ère valeur de DPB</t>
  </si>
  <si>
    <t xml:space="preserve"> 2ème valeur de DPB</t>
  </si>
  <si>
    <t>Cliquez ici pour voir la fiche "aide de base au revenu"</t>
  </si>
  <si>
    <t xml:space="preserve"> 3ème valeur de DPB</t>
  </si>
  <si>
    <t xml:space="preserve"> 4ème valeur de DPB</t>
  </si>
  <si>
    <t>ATTENTION : cette estimation se base sur les seuils de convergences obtenus avec les données 2021, les seules clôturées actuellement. Une estimation plus fiable sera disponible en janvier 2023, après traitement des données 2022.</t>
  </si>
  <si>
    <t xml:space="preserve"> 5ème valeur de DPB</t>
  </si>
  <si>
    <t xml:space="preserve"> 6ème valeur de DPB</t>
  </si>
  <si>
    <t>Sur base des données encodées ci-dessus, vous avez encodé ce nombre de droits :</t>
  </si>
  <si>
    <t>-</t>
  </si>
  <si>
    <t>PARTIE 2 - VOS SURFACES (en Région Wallonne)</t>
  </si>
  <si>
    <r>
      <t>Dans cette partie, veuillez encoder les différentes surfaces de votre exploitation 
(en Région Wallonne et en 2023)</t>
    </r>
    <r>
      <rPr>
        <sz val="11"/>
        <color theme="1"/>
        <rFont val="Calibri"/>
        <family val="2"/>
        <scheme val="minor"/>
      </rPr>
      <t>.</t>
    </r>
    <r>
      <rPr>
        <b/>
        <sz val="11"/>
        <color theme="1"/>
        <rFont val="Calibri"/>
        <family val="2"/>
        <scheme val="minor"/>
      </rPr>
      <t xml:space="preserve">
</t>
    </r>
  </si>
  <si>
    <t>2.1. De légumineuses fourragères</t>
  </si>
  <si>
    <t>Informations</t>
  </si>
  <si>
    <t>Luzerne [73]</t>
  </si>
  <si>
    <t xml:space="preserve">Pour que votre culture de légumineuse fourragère soit admissible à l'éco-régime "Cultures Favorables à l'Environnement", une zone refuge d'une surface équivalente à 10% de la parcelle doit être laissée non-fauchée. Cette zone refuge peut bouger d'emplacement entre les coupes. Pour info, le trèfle n'est pas admissible à cet éco-régime "CFE". </t>
  </si>
  <si>
    <t>Vesce [747]</t>
  </si>
  <si>
    <t>2.2. De protéagineux</t>
  </si>
  <si>
    <t xml:space="preserve">Les cultures du point 2.2 sont celles qui sont admissibles au soutien couplé protéagineux. Le soutien couplé protéagineux n'exige aucun cahier des charges particulier. </t>
  </si>
  <si>
    <t>Pois chiches [933]</t>
  </si>
  <si>
    <t>Lentilles [934]</t>
  </si>
  <si>
    <t>Mélange de printemps de légumineuses prépondérantes  (plus de 50%) et  de céréales ou autres espèces [542]</t>
  </si>
  <si>
    <t>Mélange d'hiver de légumineuses prépondérantes  (plus de 50%) et de céréales ou autres espèces [541]</t>
  </si>
  <si>
    <t>2.3. De céréales, en culture pure ou en mélange</t>
  </si>
  <si>
    <t xml:space="preserve">Les cultures de céréales du point 2.3 sont celles qui sont admissibles à la MAEC céréales laissées sur pied. 
Les cultures de printemps sont celles qui sont admissibles à l'ER "Cultures Favorables à l'Environnement". </t>
  </si>
  <si>
    <t>Mélange de céréales de printemps uniquement [394]</t>
  </si>
  <si>
    <t>Orge de brasserie [323]</t>
  </si>
  <si>
    <t>Vous pouvez déclarer ces superficies NON-productives dans la rubrique 4.13. :</t>
  </si>
  <si>
    <t>Epeautre de printemps [361]</t>
  </si>
  <si>
    <r>
      <rPr>
        <i/>
        <sz val="12"/>
        <color theme="0"/>
        <rFont val="Calibri"/>
        <family val="2"/>
        <scheme val="minor"/>
      </rPr>
      <t>.</t>
    </r>
    <r>
      <rPr>
        <i/>
        <sz val="11"/>
        <color theme="1"/>
        <rFont val="Calibri"/>
        <family val="2"/>
        <scheme val="minor"/>
      </rPr>
      <t>- bordures de champs</t>
    </r>
  </si>
  <si>
    <r>
      <rPr>
        <i/>
        <sz val="11"/>
        <color theme="0"/>
        <rFont val="Calibri"/>
        <family val="2"/>
        <scheme val="minor"/>
      </rPr>
      <t>.</t>
    </r>
    <r>
      <rPr>
        <i/>
        <sz val="11"/>
        <color theme="1"/>
        <rFont val="Calibri"/>
        <family val="2"/>
        <scheme val="minor"/>
      </rPr>
      <t>- parcelles aménagées</t>
    </r>
  </si>
  <si>
    <r>
      <rPr>
        <i/>
        <sz val="11"/>
        <color theme="0"/>
        <rFont val="Calibri"/>
        <family val="2"/>
        <scheme val="minor"/>
      </rPr>
      <t>.</t>
    </r>
    <r>
      <rPr>
        <i/>
        <sz val="11"/>
        <color theme="1"/>
        <rFont val="Calibri"/>
        <family val="2"/>
        <scheme val="minor"/>
      </rPr>
      <t>- surfaces de jachères (enherbées, méllifères,…)</t>
    </r>
  </si>
  <si>
    <r>
      <rPr>
        <i/>
        <sz val="11"/>
        <color theme="0"/>
        <rFont val="Calibri"/>
        <family val="2"/>
        <scheme val="minor"/>
      </rPr>
      <t>.</t>
    </r>
    <r>
      <rPr>
        <i/>
        <sz val="11"/>
        <color theme="1"/>
        <rFont val="Calibri"/>
        <family val="2"/>
        <scheme val="minor"/>
      </rPr>
      <t>- tournières enherbées</t>
    </r>
  </si>
  <si>
    <t>Triticale d’hiver [351]</t>
  </si>
  <si>
    <t>Les parcelles de céréales laissées sur pied pourront être encodées dans la rubrique 4.3.</t>
  </si>
  <si>
    <t>2.4. De cultures moins intensives et autres mélanges</t>
  </si>
  <si>
    <t xml:space="preserve">Les cultures du point 2.4 sont potentiellement admissibles à l'ER "Cultures Favorables à l'Environnement". </t>
  </si>
  <si>
    <t>Cameline [48]</t>
  </si>
  <si>
    <t>Mélange de céréales hiver ou printemps (+50%) et de légumineuses (+20%) [391 - 392]</t>
  </si>
  <si>
    <t>2.5. D'autres légumineuses et fourrages</t>
  </si>
  <si>
    <t xml:space="preserve">Une partie des cultures du point 2.5 est prise en compte dans la superficie fourragère de l'exploitation. </t>
  </si>
  <si>
    <t>Prairie temporaire (plus de 50 % graminées) [62]</t>
  </si>
  <si>
    <t>Prairie à vocation à devenir permanente pour les parcelles en MAEC et N2000 [623]</t>
  </si>
  <si>
    <t>Maïs ensilage ou grain [201-202]</t>
  </si>
  <si>
    <t>Trèfles [72]</t>
  </si>
  <si>
    <t>Autres mélanges (avec moins de 50 % de graminées) que ceux déjà listés [77]</t>
  </si>
  <si>
    <t>2.6. Fruitiers hautes tiges</t>
  </si>
  <si>
    <t>Ces cultures sont admissibles à l'éco-régime "Prairies Permanentes" et la MAEC "Autonomie Fourragère" plus précisement dans le calcul de votre Surface Fourragère</t>
  </si>
  <si>
    <t>Cultures fruitière pluriannuelles-hautes tiges ( de 50 à 250 arbres/ha) [9742]</t>
  </si>
  <si>
    <t>2.7. MAEC en culture (tournières enherbées, parcelles et tournières aménagées)</t>
  </si>
  <si>
    <r>
      <t xml:space="preserve">Tournière enherbée (Surface totale) -  </t>
    </r>
    <r>
      <rPr>
        <b/>
        <sz val="11"/>
        <color theme="0" tint="-0.34998626667073579"/>
        <rFont val="Calibri"/>
        <family val="2"/>
        <scheme val="minor"/>
      </rPr>
      <t xml:space="preserve">METHODE DE BASE - </t>
    </r>
    <r>
      <rPr>
        <b/>
        <u/>
        <sz val="11"/>
        <color theme="0" tint="-0.34998626667073579"/>
        <rFont val="Calibri"/>
        <family val="2"/>
        <scheme val="minor"/>
      </rPr>
      <t>PAS D'AVIS D'EXPERT</t>
    </r>
  </si>
  <si>
    <t>Ces valeurs  (tournières enherbées, tournières et parcelles aménagées) seront automatiquement transcris au point MAEC (voir plus bas)</t>
  </si>
  <si>
    <r>
      <t xml:space="preserve">Tournière et parcelle aménagée (Surface totale) - </t>
    </r>
    <r>
      <rPr>
        <b/>
        <u/>
        <sz val="11"/>
        <color theme="0" tint="-0.34998626667073579"/>
        <rFont val="Calibri"/>
        <family val="2"/>
        <scheme val="minor"/>
      </rPr>
      <t xml:space="preserve">METHODE CIBLEE - AVIS D'EXPERT </t>
    </r>
  </si>
  <si>
    <t>2.8. Autres surfaces cultivées</t>
  </si>
  <si>
    <t>Orge d’hiver [321]</t>
  </si>
  <si>
    <t>Attention, ces surfaces ne permettent qu'un accès aux régimes d'aide suivants: DPB-PRED-PJEUNE, le simulateur calcule d'office ces interventions en fonction des surfaces que vous avez encodé auparavant, l'encodage que vous ferez dans cette rubrique est indicatif.</t>
  </si>
  <si>
    <t>Seigle d’hiver [331]</t>
  </si>
  <si>
    <t>Petit Maraichage diversifié en BIO [967]</t>
  </si>
  <si>
    <t>Dans cette rubrique vous pouvez indiquer par exemple les surfaces en orge d'hiver, pomme de terre, lin, pois conserverie, chicorée, betterave, seigle d'hiver, avoine d'hiver,…, ces surfaces ne comptent pas dans le calcul des aides (SC Prot, MAEC &amp; ER)</t>
  </si>
  <si>
    <t xml:space="preserve">PARTIE 3 -  VOS ANIMAUX </t>
  </si>
  <si>
    <t xml:space="preserve">Dans cette 3ème partie, veuillez encoder le nombre d'animaux de votre exploitation. </t>
  </si>
  <si>
    <t>3.1. Nombres d'animaux utiles pour déterminer la charge en bétail</t>
  </si>
  <si>
    <t>Vaches laitières de 2 ans et plus (coeff. UGB = 1)</t>
  </si>
  <si>
    <t>Bovins mâles de 2 ans et plus (coeff. UGB = 1)</t>
  </si>
  <si>
    <t>La déclaration de vos animaux est utile pour le calcul de votre charge en bétail herbivore, qui intervient dans le calcul de la MAEC "Autonomie Fourragère", l'éco-régime "Prairies Permanentes" et le soutien couplé aux bovins femelles viandeux.</t>
  </si>
  <si>
    <t>Génisses et autres vaches de 2 ans et plus (coeff. UGB = 0,8)</t>
  </si>
  <si>
    <t>Bovins entre 1 et 2 ans  (coeff. UGB = 0,7)</t>
  </si>
  <si>
    <t>Bovins de - de 1 an  (coeff. UGB = 0,4)</t>
  </si>
  <si>
    <t xml:space="preserve">Pour toutes les vaches (laitières, mixtes ou viandeuses) : </t>
  </si>
  <si>
    <t>Ovins et caprins  (coeff. UGB = 0,1)</t>
  </si>
  <si>
    <t>Période de rétention : du 01/04/2023 au 30/09/2023</t>
  </si>
  <si>
    <t>Equidés  (coeff. UGB = 0,8)</t>
  </si>
  <si>
    <t>Vêlages : ils ont eu lieu entre le 01/10/2022 et le 30/09/2023.</t>
  </si>
  <si>
    <t>Cervidés et camélidés  (coeff. UGB = 0,2)</t>
  </si>
  <si>
    <t>Veaux : ils sont détenus au moins 3 mois consécutifs dans l'exploitation, entre le 01/07/2022 et le 30/06/2023</t>
  </si>
  <si>
    <t>INTERVENTION SOUTIEN COUPLE ANIMAUX</t>
  </si>
  <si>
    <t xml:space="preserve">3.2. Soutien couplé "Vaches laitières" </t>
  </si>
  <si>
    <t>Cliquez ici pour voir la fiche "soutien couplé aux vaches laitières"</t>
  </si>
  <si>
    <t>Souhaitez-vous demander cette aide ?</t>
  </si>
  <si>
    <t xml:space="preserve">Nombre éligible à l'aide : minimum 10 et maximum 50 vaches laitières par agriculteur ou par personne physique (si éligible). </t>
  </si>
  <si>
    <t>Nombre minimum journalier de vaches laitières éligibles durant la période de rétention ?</t>
  </si>
  <si>
    <t>Nombre de vêlage(s) ?</t>
  </si>
  <si>
    <t>Nombre de veaux gardés (3 mois ou plus) ?</t>
  </si>
  <si>
    <t xml:space="preserve">3.3. Soutien couplé "Vaches mixtes" </t>
  </si>
  <si>
    <t>Cliquez ici pour voir la fiche "soutien couplé aux vaches mixtes"</t>
  </si>
  <si>
    <t xml:space="preserve">Nombre éligible à l'aide : minimum 10 et maximum 100 vaches mixtes par agriculteur ou par personne physique (si éligible). </t>
  </si>
  <si>
    <t>Nombre minimum journalier de vaches mixtes éligibles durant la période de rétention ?</t>
  </si>
  <si>
    <t>Nombre de veaux gardés (de 3 mois ou plus)</t>
  </si>
  <si>
    <t xml:space="preserve">3.4. Soutien couplé "Vaches viandeuses" </t>
  </si>
  <si>
    <t>Cliquez ici pour voir la fiche "soutien couplé aux bovins femelles viandeux"</t>
  </si>
  <si>
    <t xml:space="preserve">Nombre éligible à l'aide : minimum 10 et maximum 145 vaches viandeuses par agriculteur ou par personne physique (si éligible). </t>
  </si>
  <si>
    <t>Nombre de vaches viandeuses (de 18 à 120 mois)</t>
  </si>
  <si>
    <t>Nombre de vêlage(s)</t>
  </si>
  <si>
    <t xml:space="preserve">Correspondant à un taux de vêlage de : </t>
  </si>
  <si>
    <t xml:space="preserve">3.5. Soutien couplé "Brebis" </t>
  </si>
  <si>
    <t>Cliquez ici pour voir la fiche "soutien couplé à la brebis"</t>
  </si>
  <si>
    <t xml:space="preserve">Nombre de brebis éligibles : min. 30  et max. 400 brebis par agriculteur ou par personne physique (si éligible). </t>
  </si>
  <si>
    <t>Nombre de brebis</t>
  </si>
  <si>
    <t>PARTIE 4 A  - CHOIX DES REGIMES D'AIDE DE BASE</t>
  </si>
  <si>
    <t>Dans cette 4ème partie, veuillez choisir les aides à activer, vérifier vos données (zone grisée) et, le cas échéant, fournir les données nécessaires (zone jaune).</t>
  </si>
  <si>
    <t>4.1. Dérogations 2023</t>
  </si>
  <si>
    <t>Cliquez ici pour voir la fiche "BCAE 8"</t>
  </si>
  <si>
    <t>Comptez-vous implanter des jachères sur lesquelles vous compter cultiver (les céréales, le tournesol et les légumineuses, à l’exception du maïs et du soja)?</t>
  </si>
  <si>
    <r>
      <t xml:space="preserve">La BCAE 8 est une nouvelle norme de conditionnalité exigeant un pourcentage minimal de surfaces non-productives sur les terres arables de l'exploitation. En 2023, une dérogation à cette règle est mise en place, consistant à permettre de cultiver les jachères comptabilisées comme surfaces non-productives pour la BCAE 8. Toute culture est ainsi acceptée sur les jachères "dérogées" à l'exception du maïs et du soja. 
</t>
    </r>
    <r>
      <rPr>
        <u/>
        <sz val="11"/>
        <color rgb="FF000000"/>
        <rFont val="Calibri"/>
        <family val="2"/>
      </rPr>
      <t>Attention</t>
    </r>
    <r>
      <rPr>
        <sz val="11"/>
        <color rgb="FF000000"/>
        <rFont val="Calibri"/>
        <family val="2"/>
      </rPr>
      <t xml:space="preserve"> : si vous utilisez cette dérogation en 2023 pour respecter la BCAE 8, vous ne pourrez pas accédez à l'éco-régime maillage écologique. 
</t>
    </r>
    <r>
      <rPr>
        <u/>
        <sz val="11"/>
        <color rgb="FF000000"/>
        <rFont val="Calibri"/>
        <family val="2"/>
      </rPr>
      <t>Attention :</t>
    </r>
    <r>
      <rPr>
        <sz val="11"/>
        <color rgb="FF000000"/>
        <rFont val="Calibri"/>
        <family val="2"/>
      </rPr>
      <t xml:space="preserve"> Taillis à Courte Rotation (TCR) également interdits</t>
    </r>
  </si>
  <si>
    <t>Quelle sera la surface de jachère dérogée?</t>
  </si>
  <si>
    <t>Cliquez ici pour voir le communiqué de presse sur les jachères dérogées.</t>
  </si>
  <si>
    <t>4.2. Soutien couplé aux cultures de protéines végétales</t>
  </si>
  <si>
    <t>Cliquez ici pour voir la fiche "SC aux cultures de protéines végétales"</t>
  </si>
  <si>
    <t>Souhaitez-vous demander le "soutien couplé aux cultures de protéines végétales" ?</t>
  </si>
  <si>
    <r>
      <t xml:space="preserve">Récapitulatif de vos superficies potentiellement admissibles au SC aux cultures de protéines végétales. </t>
    </r>
    <r>
      <rPr>
        <i/>
        <sz val="10"/>
        <color rgb="FFFF0000"/>
        <rFont val="Calibri"/>
        <family val="2"/>
        <scheme val="minor"/>
      </rPr>
      <t>TOTAL :</t>
    </r>
  </si>
  <si>
    <t>D'après les données que vous avez introduit dans les rubriques 2.1 à 2.6.</t>
  </si>
  <si>
    <t>4.3. Aide complémentaire au revenu "jeune agriculteur"</t>
  </si>
  <si>
    <t>Cliquez ici pour voir la fiche "aide complémentaire pour les jeunes agriculteurs"</t>
  </si>
  <si>
    <t>Souhaitez-vous demander l'aide complémentaire au revenu pour les jeunes agriculteurs ?</t>
  </si>
  <si>
    <t>Avez-vous déjà bénéficié de cette aide (aussi appelée "paiement en faveur des jeunes agriculteurs") ?</t>
  </si>
  <si>
    <t xml:space="preserve">Si vous répondez NON à cette question, veuillez ne pas répondre pas à la question suivante (laisser vide). </t>
  </si>
  <si>
    <t>Si oui, quelle est la première année de demande où vous avez bénéficié de cette aide ?</t>
  </si>
  <si>
    <t>Avant 2019</t>
  </si>
  <si>
    <r>
      <t xml:space="preserve">PARTIE 4 B - CHOIX DES INTERVENTIONS MAEC
</t>
    </r>
    <r>
      <rPr>
        <i/>
        <sz val="12"/>
        <color rgb="FFFF0000"/>
        <rFont val="Calibri"/>
        <family val="2"/>
        <scheme val="minor"/>
      </rPr>
      <t>Engagements volontaires et pluriannuels (5 ans) dont le contrat ne peut pas être interrompu.</t>
    </r>
  </si>
  <si>
    <t>INTERVENTIONS PLURIANNUELLES VOLONTAIRES  - MAEC CULTURE</t>
  </si>
  <si>
    <t>Les MAEC sont des engagements pluriannuels, leur durée est de 5 ans, le contrat ne peut pas être interrompu.</t>
  </si>
  <si>
    <r>
      <t xml:space="preserve">Récapitulatif de vos superficies potentiellement admissibles aux 3 MAEC ci-dessous. </t>
    </r>
    <r>
      <rPr>
        <i/>
        <sz val="10"/>
        <color rgb="FFFF0000"/>
        <rFont val="Calibri"/>
        <family val="2"/>
        <scheme val="minor"/>
      </rPr>
      <t>TOTAL :</t>
    </r>
  </si>
  <si>
    <t xml:space="preserve">Pourcentage (par rapport aux terres arables) correspondant (plafonné à 25%): </t>
  </si>
  <si>
    <t>La superficie cumulée des terres arables d’une exploitation engagées dans ces 3 mesures ne peut excéder 25 % de la superficie totale de terres arables de l’exploitation</t>
  </si>
  <si>
    <t>4.4. MAEC "Tournières enherbées"</t>
  </si>
  <si>
    <t>Cliquez ici pour voir la fiche "MAEC Tournières enherbées"</t>
  </si>
  <si>
    <r>
      <t xml:space="preserve">Selon les données encodées au point 2.7, avez-vous une MAEC de ce type ? </t>
    </r>
    <r>
      <rPr>
        <sz val="11"/>
        <color rgb="FFFF0000"/>
        <rFont val="Calibri"/>
        <family val="2"/>
        <scheme val="minor"/>
      </rPr>
      <t>(Pas d'avis d'expert nécessaire)</t>
    </r>
  </si>
  <si>
    <t xml:space="preserve">La méthode Tournière enherbée est maintenue dans la PAC 2023-2027. </t>
  </si>
  <si>
    <t>Surface encodée en tournière enherbée (point 2.7)</t>
  </si>
  <si>
    <t>Votre valeur encodée en E 88 - Voir 2.7.</t>
  </si>
  <si>
    <t>Combien d'hectares de MAEC "tournières enherbées" comptez vous engager comme surfaces non-productives dans le cadre de la Conditionnalité (BCAE 8 - Rubrique 3.13) ?</t>
  </si>
  <si>
    <r>
      <t xml:space="preserve">Récapitulatif de vos superficies potentiellement admissibles à la MAEC "Tournières enherbées".  </t>
    </r>
    <r>
      <rPr>
        <i/>
        <sz val="10"/>
        <color rgb="FFFF0000"/>
        <rFont val="Calibri"/>
        <family val="2"/>
        <scheme val="minor"/>
      </rPr>
      <t xml:space="preserve"> TOTAL : </t>
    </r>
  </si>
  <si>
    <t>Selon les surfaces que vous avez renseignées auparavant.</t>
  </si>
  <si>
    <t xml:space="preserve">                        dont superficie de "Tournières enherbées" déclarées en BCAE 8 (rubrique 3.13)</t>
  </si>
  <si>
    <t>Aucune contrainte supplementaire, cette valeur sera automatiquement utilisée pour le calcul de l'obligation en matière de conditionnalité BCAE8.</t>
  </si>
  <si>
    <t xml:space="preserve">                        dont superficie de "Tournières enherbées" autres que celles déclarées en BCAE 8 </t>
  </si>
  <si>
    <t>4.5. MAEC "Parcelles aménagées"</t>
  </si>
  <si>
    <t>Cliquez ici pour voir la fiche "MAEC Parcelles Aménagées"</t>
  </si>
  <si>
    <r>
      <t xml:space="preserve">Selon les données encodées au point 2.7, avez-vous une MAEC de ce type ? </t>
    </r>
    <r>
      <rPr>
        <sz val="11"/>
        <color rgb="FFFF0000"/>
        <rFont val="Calibri"/>
        <family val="2"/>
        <scheme val="minor"/>
      </rPr>
      <t>(Attention avis d'expert indispensable)</t>
    </r>
  </si>
  <si>
    <t>Les méthodes Parcelles aménagées et Tournières aménagées de la PAC 2014-2020, ont été reconduites et fusionnées au sein d'une seule et même méthode ciblée, le montant a été aussi révalorisé. Les contrats en cours ne peuvent pas être interrompus.</t>
  </si>
  <si>
    <t>Quelle est la surface totale de votre engagement MAEC "Parcelle aménagée"</t>
  </si>
  <si>
    <t>Votre valeur encodée en E 89 - Voir 2.7.</t>
  </si>
  <si>
    <t>Combien d'hectares de MAEC "Parcelle aménagée" comptez vous engager comme surfaces non-productives dans le cadre de la Conditionnalité (BCAE 8 - Rubrique 3.13) ?</t>
  </si>
  <si>
    <r>
      <t xml:space="preserve">Récapitulatif de vos superficies potentiellement admissibles à la MAEC "Parcelles et tournières aménagées". </t>
    </r>
    <r>
      <rPr>
        <i/>
        <sz val="10"/>
        <color rgb="FFFF0000"/>
        <rFont val="Calibri"/>
        <family val="2"/>
        <scheme val="minor"/>
      </rPr>
      <t>TOTAL:</t>
    </r>
  </si>
  <si>
    <t xml:space="preserve">                        dont superficie de "Parcelles aménagées" déclarées en BCAE 8 (rubrique 3.13)</t>
  </si>
  <si>
    <t xml:space="preserve">                        dont superficie de "Parcelles aménagées" autres (que celles déclarées en BCAE 8)</t>
  </si>
  <si>
    <t>4.6. MAEC "Céréales sur Pied"</t>
  </si>
  <si>
    <t>Cliquez ici pour voir la fiche "MAEC Céréales sur Pied"</t>
  </si>
  <si>
    <r>
      <t xml:space="preserve">Souhaitez vous un engagement à long terme pour la MAEC Céréales sur pied?
</t>
    </r>
    <r>
      <rPr>
        <sz val="11"/>
        <color rgb="FFFF0000"/>
        <rFont val="Calibri"/>
        <family val="2"/>
        <scheme val="minor"/>
      </rPr>
      <t>(Pas d'avis d'expert nécessaire)</t>
    </r>
  </si>
  <si>
    <t>Cette MAEC n'étant pas cumulable avec l'ER CFE, nous simplifions le calcul (qui se fait ici globalement, et pas par parcelle) en soustrayant vos superficies de "Cultures Favorables à l'Environnement" aux superficies "Céréales sur Pied" si vous l'activer.</t>
  </si>
  <si>
    <r>
      <t xml:space="preserve">Récapitulatif de vos superficies potentiellement admissibles à la MAEC "Céréales sur Pied". </t>
    </r>
    <r>
      <rPr>
        <i/>
        <sz val="10"/>
        <color rgb="FFFF0000"/>
        <rFont val="Calibri"/>
        <family val="2"/>
        <scheme val="minor"/>
      </rPr>
      <t>TOTAL :</t>
    </r>
  </si>
  <si>
    <t xml:space="preserve">                        dont superficie d'une sélection de céréales </t>
  </si>
  <si>
    <t>Cette MAEC est plafonnée à 10ha par exploitation.</t>
  </si>
  <si>
    <t xml:space="preserve">                        dont superficie de mélanges de céréales d'hiver et de printemps ainsi que de mélanges céréales et  légumineuses (codes culture 391 à 394)</t>
  </si>
  <si>
    <t>Quelle est la surface totale de votre engagement MAEC "Céréales sur Pied"</t>
  </si>
  <si>
    <t>Combien d'hectares de MAEC "Céréales sur pied" comptez vous engager comme surfaces non-productives dans le cadre de la Conditionnalité (BCAE 8 - Rubrique 3.13) ?</t>
  </si>
  <si>
    <r>
      <t xml:space="preserve">Récapitulatif de vos </t>
    </r>
    <r>
      <rPr>
        <b/>
        <i/>
        <sz val="10"/>
        <color theme="1"/>
        <rFont val="Calibri"/>
        <family val="2"/>
        <scheme val="minor"/>
      </rPr>
      <t>surfaces non engagées</t>
    </r>
    <r>
      <rPr>
        <i/>
        <sz val="10"/>
        <color theme="1"/>
        <rFont val="Calibri"/>
        <family val="2"/>
        <scheme val="minor"/>
      </rPr>
      <t xml:space="preserve"> dans cette MAEC (total)</t>
    </r>
  </si>
  <si>
    <t xml:space="preserve">                        dont superficie de "Céréales sur pied" déclarées en BCAE 8 (rubrique 3.13)</t>
  </si>
  <si>
    <t xml:space="preserve">                        dont superficie de "Céréales sur pied" autres (que celles déclarées en BCAE 8)</t>
  </si>
  <si>
    <t>INTERVENTIONS PLURIANNUELLES VOLONTAIRES  - MAEC ANIMAUX</t>
  </si>
  <si>
    <t>4.7. MAEC "Autonomie Fourragère"</t>
  </si>
  <si>
    <t>Cliquez ici pour voir la fiche "MAEC Autonomie Fourragère"</t>
  </si>
  <si>
    <t xml:space="preserve">Souhaitez-vous un engagement dans le cadre de la prime MAEC "Autonomie fourragère" ? </t>
  </si>
  <si>
    <t xml:space="preserve">Cette MAEC est cumulable avec l'éco-régime "Prairies Permanentes". </t>
  </si>
  <si>
    <r>
      <rPr>
        <i/>
        <sz val="10"/>
        <color rgb="FF000000"/>
        <rFont val="Calibri"/>
        <family val="2"/>
      </rPr>
      <t xml:space="preserve">Récapitulatif de vos superficies fourragères utilisées dans le calcul de votre charge en bétail pour la MAEC "Autonomie Fourragère". </t>
    </r>
    <r>
      <rPr>
        <i/>
        <sz val="10"/>
        <color rgb="FFFF0000"/>
        <rFont val="Calibri"/>
        <family val="2"/>
      </rPr>
      <t>TOTAL :</t>
    </r>
  </si>
  <si>
    <t xml:space="preserve">                        dont superficie de prairies permanentes, en devenir et temporaires</t>
  </si>
  <si>
    <t xml:space="preserve">                        dont superficie de légumineuses fourragères (excepté vesce)</t>
  </si>
  <si>
    <t xml:space="preserve">                        dont superficie de cultures fruitières pluri-annuelles hautes tiges</t>
  </si>
  <si>
    <t xml:space="preserve">                        dont superficies d'autres fourrages et légumineuses</t>
  </si>
  <si>
    <t xml:space="preserve">                        pour un nombre d'UGB de :  </t>
  </si>
  <si>
    <t>INTERVENTIONS PLURIANNUELLES - MAEC PRAIRIES</t>
  </si>
  <si>
    <t>4.8. MAEC "Prairies à Haute Valeur Biologique"</t>
  </si>
  <si>
    <t>Cliquez ici pour voir la fiche "MAEC Prairies à Haute Valeur Biologique"</t>
  </si>
  <si>
    <t xml:space="preserve">Avez-vous un engagement actuel pour la méthode PHVB (MC4) ?
</t>
  </si>
  <si>
    <t>Veuillez indiquer ici si vous avez un engagement dans la MAEC MC4 - Prairies à Haute Valeur Biologique</t>
  </si>
  <si>
    <t>Indiquez vos surfaces actuelles en PHVB (MC4 dans l'ancienne programmation PAC)</t>
  </si>
  <si>
    <t>Connaissez-vous les surfaces que vous avez à la fois en Natura 2000  à contraintes fortes (UG02, UG03, UGTemp1 et UGTemp2) et à la fois en "Prairies à Haute Valeur Biologique" ?</t>
  </si>
  <si>
    <t>Si vous ne connaissez pas la surface en Natura 2000, le calcul qui vous sera presenté sera un calcul maximisé. En effet, une déduction de la prime Natura 2000 sur la prime MAEC est effectuée par l'OPW puisque certaines contraintes d'usage sont assimilées à des contraintes de base (par exemple utilisation des engrais organiques, ...). Pour les surfaces à la fois en MAEC et Natura 2000, une prime réduite en MAEC est  ainsi attribuée ; par contre, une prime Natura 2000 de 460 € vient complémenter votre MAEC.</t>
  </si>
  <si>
    <t>Connaissez-vous les surfaces que vous avez en UG04 (bandes en bordure de cours d'eau NATURA2000) et à la fois en "Prairies à Haute Valeur Biologique" ?</t>
  </si>
  <si>
    <t>Récapitulatif des surfaces admissbiles en provenance de l'ancienne programmation</t>
  </si>
  <si>
    <r>
      <t xml:space="preserve">Comptez vous vous engager une partie de votre exploitation dans un nouvel engagement à partir de 2023? </t>
    </r>
    <r>
      <rPr>
        <sz val="11"/>
        <color rgb="FFFF0000"/>
        <rFont val="Calibri"/>
        <family val="2"/>
        <scheme val="minor"/>
      </rPr>
      <t>(Attention, avis d'expert indispensable)</t>
    </r>
  </si>
  <si>
    <t>Attention lors de votre déclaration de superficie vous devez être en possesion d'un avis d'expert octroyé par Natagriwal pour ces nouvelles surfaces.</t>
  </si>
  <si>
    <t>Indiquez les surfaces à venir en "Prairies à Haute Valeur Biologique" (surfaces pour lesquelles un avis d'expert a été demandé pour l'année 2023)</t>
  </si>
  <si>
    <t>Connaissez-vous les surfaces que vous aurez à la fois en Natura 2000 à contraintes fortes (UG02, UG03, UGTemp1 et UGTemp2) et à la fois en "Prairies à Haute Valeur Biologique" ?</t>
  </si>
  <si>
    <t>Connaissez-vous les surfaces que vous aurez à la fois en UG04 (bandes en bordure de cours d'eau NATURA2000) et à la fois en "Prairies à Haute Valeur Biologique" ?</t>
  </si>
  <si>
    <t>Récapitulatif des surfaces admissbiles pour la nouvelle programmation :</t>
  </si>
  <si>
    <t>4.9. MAEC "Prairies Naturelles"</t>
  </si>
  <si>
    <t>Cliquez ici pour voir la fiche "Prairies Naturelles"</t>
  </si>
  <si>
    <r>
      <t xml:space="preserve">Avez-vous un engagement actuel pour la méthode Prairies Naturelles (MB2) ?
</t>
    </r>
    <r>
      <rPr>
        <sz val="11"/>
        <color rgb="FFFF0000"/>
        <rFont val="Calibri"/>
        <family val="2"/>
        <scheme val="minor"/>
      </rPr>
      <t>(Attention, vous ne pouvez pas resilier votre engagement de façon unilaterale)</t>
    </r>
  </si>
  <si>
    <t>Attention, le plafond maximal d’engagement pour la méthode est fixé à 50% de la surface agricole de l’exploitation
éligible à la méthode. Les dix premiers hectares sont exemptés de ce plafonnement.</t>
  </si>
  <si>
    <t>Indiquez vos surfaces actuelles en PNaturelles  (MB2 dans l'ancienne programmation PAC)</t>
  </si>
  <si>
    <t>Connaissez-vous les surfaces que vous avez à la fois en "Natura 2000 à contraintes fortes" (UG02, UG03, UGTemp1 et UGTemp2) et à la fois en "Prairies Naturelles" ?</t>
  </si>
  <si>
    <t>Si vous ne connaissez pas la surface, le calcul qui vous sera presenté sera un calcul maximisé. En effet une déduction de la prime Natura 2000 sur la prime MAEC est effectuée par l'OPW puisque certaines contraintes d'usage sont assimilées à des contraintes de base (par exemple utilisation des engrais organiques, ...).</t>
  </si>
  <si>
    <t>Connaissez-vous les surfaces que vous avez en UG04 (bandes en bordure de cours d'eau NATURA2000) et à  la fois en "Prairies Naturelles " ?</t>
  </si>
  <si>
    <r>
      <t xml:space="preserve">Comptez vous vous engager une partie de votre exploitation dans un nouvel engagement à partir de 2023? </t>
    </r>
    <r>
      <rPr>
        <sz val="11"/>
        <color rgb="FFFF0000"/>
        <rFont val="Calibri"/>
        <family val="2"/>
        <scheme val="minor"/>
      </rPr>
      <t>(Attention, cet engagement est pluriannuel)</t>
    </r>
    <r>
      <rPr>
        <sz val="11"/>
        <color theme="1"/>
        <rFont val="Calibri"/>
        <family val="2"/>
        <scheme val="minor"/>
      </rPr>
      <t xml:space="preserve"> </t>
    </r>
  </si>
  <si>
    <t>Indiquez les surfaces à venir en Prairies Naturelles que vous comptez engager (aucun avis d'expert n'est nécessaire)</t>
  </si>
  <si>
    <t>Connaissez vous les surfaces que vous avez à la fois en  Natura 2000  à contraintes fortes (UG02, UG03, UGTemp1 et UGTemp2) et à la fois en Prairies Naturelles?</t>
  </si>
  <si>
    <t>Récapitulatif des surfaces admissbiles en provenance de la future programmation</t>
  </si>
  <si>
    <t>INTERVENTIONS PLURIANNUELLES  ORIENTEES RESULTATS- MAEC SOL - FINANCEMENT REGIONAL</t>
  </si>
  <si>
    <t>Cliquez ici pour voir la fiche "Sols"</t>
  </si>
  <si>
    <t xml:space="preserve">Proportion de la surface de l'exploitation se trouvant en terres arables </t>
  </si>
  <si>
    <t>Cette proportion doit être supérieure à 30 % pour que l'exploitation soit éligible</t>
  </si>
  <si>
    <t>Estimation de l'état d'une parcelle sur base de sa teneur en argile et en carbone organique total</t>
  </si>
  <si>
    <r>
      <t>Souhaitez-vous un engagement dans le cadre de la prime MAEC "Sol" ?</t>
    </r>
    <r>
      <rPr>
        <sz val="11"/>
        <color rgb="FFFF0000"/>
        <rFont val="Calibri"/>
        <family val="2"/>
        <scheme val="minor"/>
      </rPr>
      <t xml:space="preserve"> (Attention, cet engagement est pluriannuel) </t>
    </r>
  </si>
  <si>
    <t xml:space="preserve">Avez-vous activé l'ER "Couverture Longue de Sol"? </t>
  </si>
  <si>
    <t>L'activation de cet écorégime en première année d'engagement est indispensable en vue que l'exploitation soit éligible pour la MAEC "Sol".</t>
  </si>
  <si>
    <t>Teneur en argile estimée (%)</t>
  </si>
  <si>
    <t>Souhaitez viser le bonus final en activant l'écorégime "Couverture longue des sols" pendant les 5 années d'engagement?</t>
  </si>
  <si>
    <t>Le montant de l’aide peut être complémenté par une prime pour les surfaces ayant augmenté leur teneur en COT (changement de classe de l’indicateur).</t>
  </si>
  <si>
    <t>Carbone organique total estimé (%)</t>
  </si>
  <si>
    <t>Quelle est la surface totale des terres arables et des cultures permanentes de votre exploitation soumises à la BCAE 5 ?</t>
  </si>
  <si>
    <t xml:space="preserve">Ces parcelles-là ne sont pas éligibles. Vous pouvez vérifier la sensibilité de votre parcelle à l'érosion en consultant la page : https://agriculture.wallonie.be/pac-erosion </t>
  </si>
  <si>
    <t>Rapport COT/argile (%)</t>
  </si>
  <si>
    <t xml:space="preserve">Quelle est la surface totale de terre arable ayant été en prairie dans les 5 dernières années ? </t>
  </si>
  <si>
    <t>Ces parcelles-là ne sont pas éligibles. À noter qu'une tolérance pour une petite part de parcelle anciennement en code P est acceptée : la surface anciennement en prairie doit être inférieure à 50 ares et représenter moins de 10% de la parcelle ; si tel est le cas, la parcelle est éligible, mais la surface est déduite de celle à rémunérer</t>
  </si>
  <si>
    <t>Bilan</t>
  </si>
  <si>
    <r>
      <t xml:space="preserve">Récapitulatif de vos superficies potentiellement éligible pour la MAEC "Sol". </t>
    </r>
    <r>
      <rPr>
        <i/>
        <sz val="10"/>
        <color rgb="FFFF0000"/>
        <rFont val="Calibri"/>
        <family val="2"/>
        <scheme val="minor"/>
      </rPr>
      <t>TOTAL :</t>
    </r>
  </si>
  <si>
    <t>Quelle est la surface totale éligible de votre exploitation que vous souhaitez engager sur l'ensemble de la période MAEC "Sol" ? (qu'elle soit en terre arable, en culture permanente ou en prairie permanente)</t>
  </si>
  <si>
    <t>Cette surface doit être supérieure à 90 % de la surface de l'exploitation potentiellement éligible pour la MAEC "Sol".</t>
  </si>
  <si>
    <t>Votre résultat</t>
  </si>
  <si>
    <r>
      <t xml:space="preserve">Surface éligible </t>
    </r>
    <r>
      <rPr>
        <b/>
        <u/>
        <sz val="10"/>
        <color theme="1"/>
        <rFont val="Calibri"/>
        <family val="2"/>
        <scheme val="minor"/>
      </rPr>
      <t>initialement</t>
    </r>
    <r>
      <rPr>
        <sz val="10"/>
        <color theme="1"/>
        <rFont val="Calibri"/>
        <family val="2"/>
        <scheme val="minor"/>
      </rPr>
      <t xml:space="preserve"> estimée en</t>
    </r>
    <r>
      <rPr>
        <b/>
        <u/>
        <sz val="10"/>
        <color theme="1"/>
        <rFont val="Calibri"/>
        <family val="2"/>
        <scheme val="minor"/>
      </rPr>
      <t xml:space="preserve"> situation favorable</t>
    </r>
  </si>
  <si>
    <t>Pour connaitre comment remplir ces trois lignes (D211 - D212 - D213) --&gt;  Voir la note en bas de page dans la fiche "Sols"</t>
  </si>
  <si>
    <r>
      <t xml:space="preserve">Surface éligible </t>
    </r>
    <r>
      <rPr>
        <b/>
        <u/>
        <sz val="10"/>
        <color theme="1"/>
        <rFont val="Calibri"/>
        <family val="2"/>
        <scheme val="minor"/>
      </rPr>
      <t>initialement</t>
    </r>
    <r>
      <rPr>
        <sz val="10"/>
        <color theme="1"/>
        <rFont val="Calibri"/>
        <family val="2"/>
        <scheme val="minor"/>
      </rPr>
      <t xml:space="preserve"> estimée en </t>
    </r>
    <r>
      <rPr>
        <b/>
        <u/>
        <sz val="10"/>
        <color theme="1"/>
        <rFont val="Calibri"/>
        <family val="2"/>
        <scheme val="minor"/>
      </rPr>
      <t>situation de transition</t>
    </r>
  </si>
  <si>
    <r>
      <t>Surface éligible</t>
    </r>
    <r>
      <rPr>
        <b/>
        <u/>
        <sz val="10"/>
        <color theme="1"/>
        <rFont val="Calibri"/>
        <family val="2"/>
        <scheme val="minor"/>
      </rPr>
      <t xml:space="preserve"> initialement</t>
    </r>
    <r>
      <rPr>
        <sz val="10"/>
        <color theme="1"/>
        <rFont val="Calibri"/>
        <family val="2"/>
        <scheme val="minor"/>
      </rPr>
      <t xml:space="preserve"> estimée en </t>
    </r>
    <r>
      <rPr>
        <b/>
        <u/>
        <sz val="10"/>
        <color theme="1"/>
        <rFont val="Calibri"/>
        <family val="2"/>
        <scheme val="minor"/>
      </rPr>
      <t>situation défavorable</t>
    </r>
  </si>
  <si>
    <r>
      <t xml:space="preserve">Surface éligible évaluée en </t>
    </r>
    <r>
      <rPr>
        <b/>
        <sz val="10"/>
        <color theme="1"/>
        <rFont val="Calibri"/>
        <family val="2"/>
        <scheme val="minor"/>
      </rPr>
      <t>situation favorable</t>
    </r>
    <r>
      <rPr>
        <sz val="10"/>
        <color theme="1"/>
        <rFont val="Calibri"/>
        <family val="2"/>
        <scheme val="minor"/>
      </rPr>
      <t xml:space="preserve"> attendue lors de la </t>
    </r>
    <r>
      <rPr>
        <b/>
        <u/>
        <sz val="10"/>
        <color theme="1"/>
        <rFont val="Calibri"/>
        <family val="2"/>
        <scheme val="minor"/>
      </rPr>
      <t>dernière année</t>
    </r>
  </si>
  <si>
    <t>/!\ si une diminution de plus de 5 % de la surface totale se trouvant dans un état favorable est observée en dernière année par rapport au bilan initial, montant de base nul pour la dernière année.</t>
  </si>
  <si>
    <r>
      <t>Surface éligible évaluée en situation de</t>
    </r>
    <r>
      <rPr>
        <b/>
        <sz val="10"/>
        <color theme="1"/>
        <rFont val="Calibri"/>
        <family val="2"/>
        <scheme val="minor"/>
      </rPr>
      <t xml:space="preserve"> transition attendue</t>
    </r>
    <r>
      <rPr>
        <sz val="10"/>
        <color theme="1"/>
        <rFont val="Calibri"/>
        <family val="2"/>
        <scheme val="minor"/>
      </rPr>
      <t xml:space="preserve"> lors de la </t>
    </r>
    <r>
      <rPr>
        <b/>
        <u/>
        <sz val="10"/>
        <color theme="1"/>
        <rFont val="Calibri"/>
        <family val="2"/>
        <scheme val="minor"/>
      </rPr>
      <t>dernière année</t>
    </r>
  </si>
  <si>
    <r>
      <t>Surface éligible évaluée en</t>
    </r>
    <r>
      <rPr>
        <b/>
        <sz val="10"/>
        <color theme="1"/>
        <rFont val="Calibri"/>
        <family val="2"/>
        <scheme val="minor"/>
      </rPr>
      <t xml:space="preserve"> situation défavorable</t>
    </r>
    <r>
      <rPr>
        <sz val="10"/>
        <color theme="1"/>
        <rFont val="Calibri"/>
        <family val="2"/>
        <scheme val="minor"/>
      </rPr>
      <t xml:space="preserve"> attendue lors de la</t>
    </r>
    <r>
      <rPr>
        <b/>
        <u/>
        <sz val="10"/>
        <color theme="1"/>
        <rFont val="Calibri"/>
        <family val="2"/>
        <scheme val="minor"/>
      </rPr>
      <t xml:space="preserve"> dernière année</t>
    </r>
  </si>
  <si>
    <t>/!\ si une augmentation de plus de 5 % de la surface totale se trouvant dans un état défavorable est observée en dernière année par rapport au bilan initial, montant de base nul pour la dernière année.</t>
  </si>
  <si>
    <t>INTERVENTION PLURIANNUELLE - MAEC RACES LOCALES MENACEES</t>
  </si>
  <si>
    <r>
      <t>Souhaitez-vous un engagement dans le cadre de la prime MAEC "Races locales menacées" ?</t>
    </r>
    <r>
      <rPr>
        <sz val="11"/>
        <color rgb="FFFF0000"/>
        <rFont val="Calibri"/>
        <family val="2"/>
        <scheme val="minor"/>
      </rPr>
      <t xml:space="preserve"> 
(Attention, cet engagement est pluriannuel)</t>
    </r>
  </si>
  <si>
    <t>Cliquez ici pour voir la fiche MAEC Races locales menacées</t>
  </si>
  <si>
    <t>Veuillez indiquer le nombre d'ovins des races éligibles</t>
  </si>
  <si>
    <t>Races ovines : mouton laitier belge, mouton Entre-Sambre-et-Meuse, mouton ardennais tacheté, mouton ardennais roux, mouton Mergelland.</t>
  </si>
  <si>
    <t>Veuillez indiquer le nombre de bovins des races éligibles</t>
  </si>
  <si>
    <t>Races bovines : bleue mixte (anciennement blanc-bleu mixte), Pie-rouge de l’Est.</t>
  </si>
  <si>
    <t>Veuillez indiquer le nombre d'équidés des races éligibles</t>
  </si>
  <si>
    <t>Races chevalines : cheval de trait ardennais, cheval de trait belge.</t>
  </si>
  <si>
    <r>
      <t xml:space="preserve">PARTIE 4 C - CHOIX DES INTERVENTIONS "ECO-REGIME"
</t>
    </r>
    <r>
      <rPr>
        <i/>
        <sz val="12"/>
        <color rgb="FFFF0000"/>
        <rFont val="Calibri"/>
        <family val="2"/>
        <scheme val="minor"/>
      </rPr>
      <t xml:space="preserve">Engagements volontaires et annuels </t>
    </r>
  </si>
  <si>
    <t>4.10. Eco-Régime "Prairies Permanentes"</t>
  </si>
  <si>
    <t xml:space="preserve">Souhaitez-vous activer l'éco-régime "Prairies Permanentes" ?  </t>
  </si>
  <si>
    <r>
      <rPr>
        <i/>
        <sz val="10"/>
        <color rgb="FF000000"/>
        <rFont val="Calibri"/>
        <family val="2"/>
      </rPr>
      <t xml:space="preserve">Récapitulatif de vos superficies fourragères utilisées dans le calcul de votre charge en bétail pour l'ER "Prairies Permanentes". </t>
    </r>
    <r>
      <rPr>
        <i/>
        <sz val="10"/>
        <color rgb="FFFF0000"/>
        <rFont val="Calibri"/>
        <family val="2"/>
      </rPr>
      <t>TOTAL :</t>
    </r>
  </si>
  <si>
    <t>Cliquez ici pour voir la fiche "ER Prairies Permanentes"</t>
  </si>
  <si>
    <t xml:space="preserve">                        dont superficie de prairies permanentes</t>
  </si>
  <si>
    <t>Attention, cette intervention est annuelle. Il est cumulable avec la MAEC "Autonomie Fourragère".</t>
  </si>
  <si>
    <r>
      <t xml:space="preserve">                        </t>
    </r>
    <r>
      <rPr>
        <i/>
        <sz val="10"/>
        <color theme="0"/>
        <rFont val="Calibri"/>
        <family val="2"/>
        <scheme val="minor"/>
      </rPr>
      <t xml:space="preserve">dont </t>
    </r>
    <r>
      <rPr>
        <i/>
        <sz val="10"/>
        <color theme="1"/>
        <rFont val="Calibri"/>
        <family val="2"/>
        <scheme val="minor"/>
      </rPr>
      <t xml:space="preserve">superficie de prairies temporaires </t>
    </r>
  </si>
  <si>
    <t xml:space="preserve">La surface de prairies prise en compte dans le calcul de l'aide est identique pour cette intervention et pour la MAEC Autonomie Fourragère. Elle est calculée à partir des données que vous avez renseignées aux points 2.1 à 2.6. </t>
  </si>
  <si>
    <r>
      <t xml:space="preserve">                        </t>
    </r>
    <r>
      <rPr>
        <i/>
        <sz val="10"/>
        <color theme="0"/>
        <rFont val="Calibri"/>
        <family val="2"/>
        <scheme val="minor"/>
      </rPr>
      <t xml:space="preserve">dont </t>
    </r>
    <r>
      <rPr>
        <i/>
        <sz val="10"/>
        <color theme="1"/>
        <rFont val="Calibri"/>
        <family val="2"/>
        <scheme val="minor"/>
      </rPr>
      <t>superficie de prairies à vocation à devenir permanente (pour les parcelles en MAEC et N2000)</t>
    </r>
  </si>
  <si>
    <r>
      <t xml:space="preserve">                        </t>
    </r>
    <r>
      <rPr>
        <i/>
        <sz val="10"/>
        <color theme="0"/>
        <rFont val="Calibri"/>
        <family val="2"/>
        <scheme val="minor"/>
      </rPr>
      <t xml:space="preserve">dont </t>
    </r>
    <r>
      <rPr>
        <i/>
        <sz val="10"/>
        <color theme="1"/>
        <rFont val="Calibri"/>
        <family val="2"/>
        <scheme val="minor"/>
      </rPr>
      <t>superficie de légumineuses fourragères (excepté vesce)</t>
    </r>
  </si>
  <si>
    <r>
      <t xml:space="preserve">                        </t>
    </r>
    <r>
      <rPr>
        <i/>
        <sz val="10"/>
        <color theme="0"/>
        <rFont val="Calibri"/>
        <family val="2"/>
        <scheme val="minor"/>
      </rPr>
      <t xml:space="preserve">dont </t>
    </r>
    <r>
      <rPr>
        <i/>
        <sz val="10"/>
        <color theme="1"/>
        <rFont val="Calibri"/>
        <family val="2"/>
        <scheme val="minor"/>
      </rPr>
      <t>superficie de cultures fruitières pluri-annuelles hautes tiges</t>
    </r>
  </si>
  <si>
    <r>
      <t xml:space="preserve">                       </t>
    </r>
    <r>
      <rPr>
        <i/>
        <sz val="10"/>
        <color theme="0"/>
        <rFont val="Calibri"/>
        <family val="2"/>
        <scheme val="minor"/>
      </rPr>
      <t xml:space="preserve"> dont </t>
    </r>
    <r>
      <rPr>
        <i/>
        <sz val="10"/>
        <color theme="1"/>
        <rFont val="Calibri"/>
        <family val="2"/>
        <scheme val="minor"/>
      </rPr>
      <t>superficies d'autres fourrages et légumineuses</t>
    </r>
  </si>
  <si>
    <t>Ce nombre d'UGB est calculé à partir des données que vous avez introduites dans la partie 3 "Vos animaux".</t>
  </si>
  <si>
    <t>4.11. Eco-Régime "Cultures Favorables à l'Environnement"</t>
  </si>
  <si>
    <t>Cliquez ici pour voir la fiche "ER Cultures Favorables à l'Environnement"</t>
  </si>
  <si>
    <t>Souhaitez-vous activer l'ER "Cultures Favorable à l'Environnement"?</t>
  </si>
  <si>
    <t>Attention, cette intervention est annuelle, elle n'est pas compatible avec la MAEC Céréales sur Pied.</t>
  </si>
  <si>
    <t>Quelle est la surface totale de votre engagement ER "Cultures Favorables à l'environnement"?</t>
  </si>
  <si>
    <t>Veuillez indiquer la surface que vous comptez activer dans le cadre de l'ER "Cultures Favorables à l'environnement".</t>
  </si>
  <si>
    <r>
      <t xml:space="preserve">Récapitulatif de vos superficies potentiellement admissibles à cet ER "Cultures favorables à l'Environnement". </t>
    </r>
    <r>
      <rPr>
        <i/>
        <sz val="10"/>
        <color rgb="FFFF0000"/>
        <rFont val="Calibri"/>
        <family val="2"/>
        <scheme val="minor"/>
      </rPr>
      <t>TOTAL :</t>
    </r>
  </si>
  <si>
    <t>Calculé à partir des données renseignées dans les rubriques 2.1 à 2.6 (surface totale).</t>
  </si>
  <si>
    <t xml:space="preserve">                        dont superficie de légumineuses fourragères</t>
  </si>
  <si>
    <t xml:space="preserve">                                  superficie d'une sélection de cultures de printemps</t>
  </si>
  <si>
    <t xml:space="preserve">                                  superficie de cultures moins intensives et autes mélanges</t>
  </si>
  <si>
    <t>4.12. Eco-Régime "Couverture Longue de Sol"</t>
  </si>
  <si>
    <t>Cliquez ici pour voir la fiche "ER Couverture Longue du Sol"</t>
  </si>
  <si>
    <t>Souhaitez-vous activer l'ER "Couverture Longue de Sol"?</t>
  </si>
  <si>
    <t>Attention, selon le type de couverture, une déclaration préalable est exigée par l'administration.</t>
  </si>
  <si>
    <t>Superficie NON couverte du 1/1/2023 au 15/2/2023</t>
  </si>
  <si>
    <t>Veuillez introduire la superficie des terres que vous ne couvrez pas.</t>
  </si>
  <si>
    <r>
      <t xml:space="preserve">Récapitulatif des superficies de vos prairies et surfaces assimilées (pour le calcul du ratio). </t>
    </r>
    <r>
      <rPr>
        <i/>
        <sz val="10"/>
        <color rgb="FFFF0000"/>
        <rFont val="Calibri"/>
        <family val="2"/>
        <scheme val="minor"/>
      </rPr>
      <t>TOTAL :</t>
    </r>
  </si>
  <si>
    <t>Calculé à partir des données que vous avez introduites dans la partie 1 ("Vos surfaces en Région Wallonne").</t>
  </si>
  <si>
    <t xml:space="preserve">                        dont superficie de légumineuses fourragères et trèfle</t>
  </si>
  <si>
    <t xml:space="preserve">                                  superficie de prairies (permanentes, en devenir, temporaires,…) </t>
  </si>
  <si>
    <t xml:space="preserve">                                  superficie de cultures fruitières pluri-annuelles hautes tiges</t>
  </si>
  <si>
    <t>4.13.Conformité conditionnalité BCAE 8 et Eco-Régime "Maillage Ecologique"</t>
  </si>
  <si>
    <t>Cliquez ici pour voir la fiche "ER Maillage écologique"</t>
  </si>
  <si>
    <t>Comptent pour :</t>
  </si>
  <si>
    <r>
      <t xml:space="preserve">Eléments en </t>
    </r>
    <r>
      <rPr>
        <b/>
        <u/>
        <sz val="11"/>
        <color rgb="FFFF0000"/>
        <rFont val="Calibri"/>
        <family val="2"/>
        <scheme val="minor"/>
      </rPr>
      <t>Terres arables</t>
    </r>
  </si>
  <si>
    <t xml:space="preserve">Les éléments en terres arables comptent comme "surfaces non productives" dans le respect de la BCAE 8. 
Les éléments en prairies permanentes et cultures permanentes ne comptent pas comme "surfaces non productives" dans le respect de la BCAE 8. </t>
  </si>
  <si>
    <t>Bosquets (hectare)</t>
  </si>
  <si>
    <t>Cliquez ici pour voir la fiche "BCAE8"</t>
  </si>
  <si>
    <t>En ce qui concerne les dimensions des éléments, veuillez consulter les fiches rélatives à la conditionnalité.</t>
  </si>
  <si>
    <t>Attention, dans le cadre de l'ER "Maillage écologique", le simulateur ne permet qu'un calcul des éléments allant plus loin que la conditionnalité (BCAE 8) en termes des contraintes d'usage (maintien jusqu'au le 31/07/N pour les jachères et les bandes enherbées annuelles).</t>
  </si>
  <si>
    <r>
      <t xml:space="preserve">Il existe des bonifications pour les dispositifs en zone Natura2000 ou dans un Site de Grand Intérêt Biologique (SGIB).
</t>
    </r>
    <r>
      <rPr>
        <b/>
        <u/>
        <sz val="11"/>
        <color theme="1"/>
        <rFont val="Calibri"/>
        <family val="2"/>
        <scheme val="minor"/>
      </rPr>
      <t>ATTENTION : ces bonifications ne sont pas prises en compte dans ce simulateur.</t>
    </r>
  </si>
  <si>
    <t>BCAE8</t>
  </si>
  <si>
    <t>Superficie de jachère dérogée ("blé d'Ukraine") (hectare)</t>
  </si>
  <si>
    <t>Selon les données que vous avez introduit dans les rubriques auparavant</t>
  </si>
  <si>
    <t>Tournière enherbée MAEC MB5 [751] (hectare)</t>
  </si>
  <si>
    <t>Bande ou parcelle aménagée MAEC MC7 MC8 [754] (hectare)</t>
  </si>
  <si>
    <t>Parcelles de céréales laissées sur pied engagées en MAEC (hectare)</t>
  </si>
  <si>
    <r>
      <t xml:space="preserve">Eléments en </t>
    </r>
    <r>
      <rPr>
        <b/>
        <u/>
        <sz val="11"/>
        <color rgb="FFFF0000"/>
        <rFont val="Calibri"/>
        <family val="2"/>
        <scheme val="minor"/>
      </rPr>
      <t>Prairies permanentes</t>
    </r>
  </si>
  <si>
    <t>Arbustes et buissons isolés (nombre)</t>
  </si>
  <si>
    <t>Haies (mètre)</t>
  </si>
  <si>
    <t>Mares (nombre)</t>
  </si>
  <si>
    <t>Les prairies permanentes concernées sont les prairies portant les codes 610, 670, 600, 623 et 618 dans votre déclaration de superficie.</t>
  </si>
  <si>
    <r>
      <rPr>
        <sz val="11"/>
        <color theme="0"/>
        <rFont val="Calibri"/>
        <family val="2"/>
        <scheme val="minor"/>
      </rPr>
      <t>.</t>
    </r>
    <r>
      <rPr>
        <sz val="11"/>
        <color theme="1"/>
        <rFont val="Calibri"/>
        <family val="2"/>
        <scheme val="minor"/>
      </rPr>
      <t>- 623 : Prairie à vocation à devenir permanente pour les parcelles en MAEC et N2000</t>
    </r>
  </si>
  <si>
    <r>
      <rPr>
        <sz val="11"/>
        <color theme="0"/>
        <rFont val="Calibri"/>
        <family val="2"/>
        <scheme val="minor"/>
      </rPr>
      <t>.</t>
    </r>
    <r>
      <rPr>
        <sz val="11"/>
        <color theme="1"/>
        <rFont val="Calibri"/>
        <family val="2"/>
        <scheme val="minor"/>
      </rPr>
      <t xml:space="preserve">- 600, 670 et 600 : PP hors rotation depuis 5 ans, avec un taux de couverture, respectivement, de 50% ou moins, entre 50 et 90% ou plus grand que 90%. </t>
    </r>
  </si>
  <si>
    <r>
      <t xml:space="preserve">Eléments en </t>
    </r>
    <r>
      <rPr>
        <b/>
        <u/>
        <sz val="11"/>
        <color rgb="FFFF0000"/>
        <rFont val="Calibri"/>
        <family val="2"/>
        <scheme val="minor"/>
      </rPr>
      <t>Cultures permanentes</t>
    </r>
  </si>
  <si>
    <r>
      <rPr>
        <sz val="11"/>
        <color theme="0"/>
        <rFont val="Calibri"/>
        <family val="2"/>
        <scheme val="minor"/>
      </rPr>
      <t>.</t>
    </r>
    <r>
      <rPr>
        <sz val="11"/>
        <color theme="1"/>
        <rFont val="Calibri"/>
        <family val="2"/>
        <scheme val="minor"/>
      </rPr>
      <t>- 618 : PP (taux de couverture &gt; 90%), avec contrat d'aide complémentaire environnemental, hors rotation depuis 5 ans</t>
    </r>
  </si>
  <si>
    <t>Respectez-vous la BCAE 8 (via dérogation ou non ; voir point 3.1) ?</t>
  </si>
  <si>
    <t>Sur base du respect de la BCAE8 hors dérogation, êtes-vous éligible pour cet ER?</t>
  </si>
  <si>
    <t>Evalué selon les données introduites dans "Eléments en Terres Arables" (voir ci-dessus). Pour accéder à l'ER maillage écologique, il faut respecter le pourcentage demandé par la BCAE 8, et ceci, sans recours à la  dérogation « jachères cultivées » en 2023</t>
  </si>
  <si>
    <t>Souhaitez-vous activer l'ER Maillage écologique?</t>
  </si>
  <si>
    <t>Attention, si vous ne répondez pas "OUI", le calcul ne sera pas effectué.</t>
  </si>
  <si>
    <r>
      <t xml:space="preserve">PARTIE 4 D - INDEMNITES NATURA 2000
</t>
    </r>
    <r>
      <rPr>
        <i/>
        <sz val="10"/>
        <color rgb="FFFF0000"/>
        <rFont val="Calibri"/>
        <family val="2"/>
        <scheme val="minor"/>
      </rPr>
      <t xml:space="preserve">Paiement car contrainte d'usage </t>
    </r>
  </si>
  <si>
    <t>Souhaitez-vous activer l'indemnité Natura 2000 Agricole?</t>
  </si>
  <si>
    <t>Cliquez ici pour voir la fiche "Natura 2000 - Agricole"</t>
  </si>
  <si>
    <t>Natura 2000 - Prairies à contraintes fortes</t>
  </si>
  <si>
    <t>Selon les surfaces encodés dans les lignes suivantes.</t>
  </si>
  <si>
    <t>Veuillez encoder vos surfaces (totaux) en UG02 - Milieux ouverts prioritaires</t>
  </si>
  <si>
    <t>Veuillez encoder vos surfaces (totaux) en UG03 - Prairies habitats d'espèces</t>
  </si>
  <si>
    <t>Veuillez encoder vos surfaces (totaux) en UG04 - Bandes extensives le long des cours d'eau</t>
  </si>
  <si>
    <t>Si vous ne connaissez pas ces surfaces, veuillez contacter votre direction extérieure, votre mandataire (syndicat agricole ou autre) ou l'asbl Natagriwal.</t>
  </si>
  <si>
    <t>Veuillez encoder vos surfaces (totaux) en UGTemp01 - Zones sous statut de protection</t>
  </si>
  <si>
    <t>Attention, les UG05, prairies de liaison ne sont plus payées via l'indemnité Natura 2000, elles sont reprises dans l'ER Maillage Ecologique. Veuillez les encoder dans les lignes D262 à D268 (total des UG05)</t>
  </si>
  <si>
    <t>Veuillez encoder vos surfaces (totaux) en UGTemp02 - Zones à gestion publique</t>
  </si>
  <si>
    <r>
      <t xml:space="preserve">PARTIE 4 E - INDEMNITES ZONES A CONTRAINTES NATURELLES ET SPECIFIQUES
</t>
    </r>
    <r>
      <rPr>
        <i/>
        <sz val="10"/>
        <color rgb="FFFF0000"/>
        <rFont val="Calibri"/>
        <family val="2"/>
        <scheme val="minor"/>
      </rPr>
      <t>Paiement car localisation en zones à contraintes</t>
    </r>
  </si>
  <si>
    <t>Cliquez ici pour voir la fiche IZCN et IZCS</t>
  </si>
  <si>
    <t>Votre exploitation, est-elle, localisée dans les zones soumises à des contraintes naturelles ou spécifiques?</t>
  </si>
  <si>
    <t>Vous devez répondre Oui, si votre exploitation agricole est située en tout ou partie dans cette zone.</t>
  </si>
  <si>
    <r>
      <t>Veuillez encoder la surface de votre exploitation</t>
    </r>
    <r>
      <rPr>
        <b/>
        <sz val="11"/>
        <color theme="1"/>
        <rFont val="Calibri"/>
        <family val="2"/>
        <scheme val="minor"/>
      </rPr>
      <t xml:space="preserve"> </t>
    </r>
    <r>
      <rPr>
        <b/>
        <u/>
        <sz val="16"/>
        <color rgb="FFFF0000"/>
        <rFont val="Calibri"/>
        <family val="2"/>
        <scheme val="minor"/>
      </rPr>
      <t>hors zones</t>
    </r>
    <r>
      <rPr>
        <sz val="11"/>
        <color theme="1"/>
        <rFont val="Calibri"/>
        <family val="2"/>
        <scheme val="minor"/>
      </rPr>
      <t xml:space="preserve"> à contraintes naturelles ou spécifiques</t>
    </r>
  </si>
  <si>
    <t>Les parcelles situées en dehors de la zone IZCN - IZCS ne peuvent pas bénéficier de l'aide, veuillez encoder la surface en dehors de ces zones. Si toute la surface de votre exploitation est dans cette zone IZCN, veuillez laisser 0.</t>
  </si>
  <si>
    <t>La surface totale de votre exploitation est de</t>
  </si>
  <si>
    <t>Données que vous avez encodé en E16 (Surface Agricole Utile de votre exploitation)</t>
  </si>
  <si>
    <t>La surface éligible à l'intervention IZCN-IZCS est de</t>
  </si>
  <si>
    <t>Le montant de l'aide est limité aux 75 premiers hectares de surface agricole situés dans les zones soumises à des contraintes naturelles ou à des contraintes spécifiques.</t>
  </si>
  <si>
    <r>
      <t xml:space="preserve">PARTIE 4 F - MAEC PLAN D'ACTION AGRO-ENVIRONNEMENTAL
</t>
    </r>
    <r>
      <rPr>
        <i/>
        <sz val="10"/>
        <color rgb="FFFF0000"/>
        <rFont val="Calibri"/>
        <family val="2"/>
        <scheme val="minor"/>
      </rPr>
      <t>Attention, avis d'un conseiller Natagriwal indispensable, approche globale sur l'exploitation.</t>
    </r>
  </si>
  <si>
    <t>Cliquez ici pour voir la fiche MAEC Plan d'action agroenvironnemental</t>
  </si>
  <si>
    <t xml:space="preserve">Souhaitez vous activer cette intervention? </t>
  </si>
  <si>
    <t>Attention, cette aide a besoin d'un avis conforme octroyé par Natagriwal, il s'agit d'une approche holistique de votre exploitation.</t>
  </si>
  <si>
    <r>
      <t xml:space="preserve">PARTIE 4 G - AGRICULTURE BIOLOGIQUE
</t>
    </r>
    <r>
      <rPr>
        <i/>
        <sz val="10"/>
        <color rgb="FFFF0000"/>
        <rFont val="Calibri"/>
        <family val="2"/>
        <scheme val="minor"/>
      </rPr>
      <t>Attention, certification obligatoire.</t>
    </r>
  </si>
  <si>
    <t>Cliquez ici pour voir la fiche sur les aides à l'agriculture biologique</t>
  </si>
  <si>
    <t>INTERVENTION SOUTIEN AGRICULTURE BIOLOGIQUE</t>
  </si>
  <si>
    <t>Avez-vous une certification BIO?</t>
  </si>
  <si>
    <t>Vous devez être certifié auprès d’un organisme de contrôle au plus tard le 31 décembre de l’année précédant la première année de l’engagement</t>
  </si>
  <si>
    <t>Avez-vous un engagement en cours ou un nouvel engagement?</t>
  </si>
  <si>
    <t>Vous ne pouvez pas arreter votre engagement en cours, vos primes seront adaptées à la nouvelle intervention.</t>
  </si>
  <si>
    <t>Suivez-vous l'itineraire "Conversion"?</t>
  </si>
  <si>
    <t>L’aide à la conversion représente une majoration de 150 €/ha de l’aide au maintien pendant les 2 premières années en conversion pour tous les groupes de culture, excepté le groupe 5 « maraîchage diversifié sur petites surfaces ». </t>
  </si>
  <si>
    <t>Votre exploitation se situe-t-elle en zone vulnerable?</t>
  </si>
  <si>
    <t>Une majoration des montants des aides sera accordée dans la zone vulnérable,  pour tous les groupes de culture, excepté le groupe « maraîchage diversifié sur petites surfaces y compris pour les parcelles en conversion. La Zone Vulnerable couvre tout le Nord du sillon Sambre et Meuse, le Nord de la Province de Liège, le Sud Namurois et le Condroz.</t>
  </si>
  <si>
    <t>Souhaitez-vous l'aide pour le petit maraichage en BIO</t>
  </si>
  <si>
    <t>Attention, maximum 3ha avec le code 967 "Petit Maraichage diversifié en BIO" et superficie de l'exploitation de maximum 10 ha. 
Si la surface de votre exploitation est &gt;10ha, il faut utiliser les codes arboriculture, maraichage,... pour bénéficier de la prime du groupe 4 "Arboriculture - maraichage - semences pour ces surfaces".</t>
  </si>
  <si>
    <t>Veuillez indiquer vos hectares en conversion à l'aide du tableau suivant:</t>
  </si>
  <si>
    <t>Selon les données encodées dans la rubrique 2.1 à 2.8 voici le détail de votre assolement (ha)</t>
  </si>
  <si>
    <t>conversion</t>
  </si>
  <si>
    <t>maintien</t>
  </si>
  <si>
    <t>GROUPE 1 - PRAIRIES</t>
  </si>
  <si>
    <t>Les surfaces Natura 2000 ne peuvent pas bénéficier d'une aide BIO</t>
  </si>
  <si>
    <t>GROUPE 2 - FOURRAGES</t>
  </si>
  <si>
    <t>GROUPE 3 - CULTURES ANNUELLES</t>
  </si>
  <si>
    <t>GROUPE 4 - ARBORICULTURE-MARAICHAGE-SEMENCES</t>
  </si>
  <si>
    <t>GROUPE 5 - PETIT MARAICHAGE</t>
  </si>
  <si>
    <t>CONDITION SAU &lt;10HA</t>
  </si>
  <si>
    <t>Autres renseignements :</t>
  </si>
  <si>
    <t>Selon données</t>
  </si>
  <si>
    <t>RESULTAT</t>
  </si>
  <si>
    <t>Votre surface fourragère est de:</t>
  </si>
  <si>
    <t>Votre charge en bétail est de:</t>
  </si>
  <si>
    <t>Votre UGB/SF est de :</t>
  </si>
  <si>
    <t>Conformité conditionnalité BCAE 8</t>
  </si>
  <si>
    <t>Résultat de votre conformité:</t>
  </si>
  <si>
    <t>Synthèse</t>
  </si>
  <si>
    <t>TOTAL PRIMES PAC 2023</t>
  </si>
  <si>
    <t>Activé?</t>
  </si>
  <si>
    <t>1.a. Paiement de base</t>
  </si>
  <si>
    <t>Sans objet</t>
  </si>
  <si>
    <t>1.b. Paiement redistributif</t>
  </si>
  <si>
    <t>1.c. Paiement "jeune agriculteur"</t>
  </si>
  <si>
    <t>2.a. Soutien Couplé "animal"</t>
  </si>
  <si>
    <t>2.b. Soutien Couplé "cultures de protéines végétales"</t>
  </si>
  <si>
    <t>3. MAEC Céréales sur Pied</t>
  </si>
  <si>
    <t>4. MAEC Tournière Enherbée</t>
  </si>
  <si>
    <t>5. MAEC Parcelle Aménagée</t>
  </si>
  <si>
    <t>6. MAEC Autonomie Fourragère</t>
  </si>
  <si>
    <t>7. MAEC Prairies à Haute Valeur Biologique</t>
  </si>
  <si>
    <t>8. MAEC Prairies naturelles</t>
  </si>
  <si>
    <t>9. MAEC Sols</t>
  </si>
  <si>
    <t>10. MAEC Races locales menacées</t>
  </si>
  <si>
    <t>11. MAEC Plan d'action agro-environnemental</t>
  </si>
  <si>
    <t>11. ER Prairies Permanentes</t>
  </si>
  <si>
    <t>12. ER Cultures Favorables à l'Environnement</t>
  </si>
  <si>
    <t>13. ER Couverture Longue du Sol</t>
  </si>
  <si>
    <t>14. ER Maillage Ecologique</t>
  </si>
  <si>
    <t>15. Indemnités Natura 2000 - Agricole</t>
  </si>
  <si>
    <t>16. Indemnités IZCN et IZCS</t>
  </si>
  <si>
    <t>17. Aides Agriculture Biologique (BIO)</t>
  </si>
  <si>
    <t>TOTAL</t>
  </si>
  <si>
    <t>Vos DPB</t>
  </si>
  <si>
    <t>Nombres</t>
  </si>
  <si>
    <t>En 2022</t>
  </si>
  <si>
    <t>En 2023</t>
  </si>
  <si>
    <t>DPB 1</t>
  </si>
  <si>
    <t>DPB 2</t>
  </si>
  <si>
    <t>DPB 3</t>
  </si>
  <si>
    <t>DPB 4</t>
  </si>
  <si>
    <t>DPB 5</t>
  </si>
  <si>
    <t>DPB 6</t>
  </si>
  <si>
    <t xml:space="preserve">Montant intermédiaire : </t>
  </si>
  <si>
    <t xml:space="preserve">Application du plafond : </t>
  </si>
  <si>
    <t xml:space="preserve">Montant total </t>
  </si>
  <si>
    <t>Evolution estimée de la valeur de vos DPB</t>
  </si>
  <si>
    <t>Superficie admissible</t>
  </si>
  <si>
    <t>Montant unitaire par hectare</t>
  </si>
  <si>
    <t>Montant total</t>
  </si>
  <si>
    <t>Détail groupement</t>
  </si>
  <si>
    <t>Personne physique</t>
  </si>
  <si>
    <t>Hectares admissibles</t>
  </si>
  <si>
    <t>Montant</t>
  </si>
  <si>
    <t>Montant unitaire par hectare pour la 1ère tranche (0 à 50 ha)</t>
  </si>
  <si>
    <t>Montant unitaire par hectare pour la 2ème tranche (&gt;50 à 100 ha)</t>
  </si>
  <si>
    <t>2.a. Soutien couplé "animal"</t>
  </si>
  <si>
    <t>Nombre de brebis admissibles</t>
  </si>
  <si>
    <t>Nombre d'animaux admissibles après (dé)plafonnement</t>
  </si>
  <si>
    <t xml:space="preserve">Montant unitaire </t>
  </si>
  <si>
    <t>Montant total (pour les brebis)</t>
  </si>
  <si>
    <r>
      <t xml:space="preserve">Nombres de vaches laitières admissibles :
</t>
    </r>
    <r>
      <rPr>
        <sz val="10"/>
        <color theme="1"/>
        <rFont val="Calibri"/>
        <family val="2"/>
        <scheme val="minor"/>
      </rPr>
      <t>minimum entre le nombre de vaches, de veaux (multiplié par 10) et de vêlages</t>
    </r>
  </si>
  <si>
    <t>Montant total (pour les VL)</t>
  </si>
  <si>
    <r>
      <t xml:space="preserve">Nombres de vaches mixtes admissibles :
</t>
    </r>
    <r>
      <rPr>
        <sz val="10"/>
        <color theme="1"/>
        <rFont val="Calibri"/>
        <family val="2"/>
        <scheme val="minor"/>
      </rPr>
      <t>minimum entre le nombre de vaches, de veaux (multiplié par 2) et de vêlages</t>
    </r>
  </si>
  <si>
    <t>Montant unitaire</t>
  </si>
  <si>
    <t>Montant total (pour les VM)</t>
  </si>
  <si>
    <r>
      <t xml:space="preserve">Nombre de vaches viandeuses admissibles : 
</t>
    </r>
    <r>
      <rPr>
        <sz val="9"/>
        <color theme="1"/>
        <rFont val="Calibri"/>
        <family val="2"/>
        <scheme val="minor"/>
      </rPr>
      <t>minimum entre le nombre de vaches, de veaux (multiplié par 3) et de vêlages (multiplié par 1,33)</t>
    </r>
  </si>
  <si>
    <t>Charge en bétail maximum (UGB/sf)</t>
  </si>
  <si>
    <t>Charge en bétail estimée (UGB/sf)</t>
  </si>
  <si>
    <t>Nombre d'animaux admissibles après réduction liée à la charge</t>
  </si>
  <si>
    <t>Montant total (pour les VV)</t>
  </si>
  <si>
    <t>2.b. Soutien couplé aux cultures de protéines végétales (SC cpv)</t>
  </si>
  <si>
    <t>3. MAEC "Céréales sur Pied" (MAEC CéréP)</t>
  </si>
  <si>
    <t>Superficie potentiellement admissible à l'aide</t>
  </si>
  <si>
    <t xml:space="preserve">Superficie engagée </t>
  </si>
  <si>
    <r>
      <t xml:space="preserve">Plafonnement de l'aide : </t>
    </r>
    <r>
      <rPr>
        <sz val="10"/>
        <color theme="1"/>
        <rFont val="Calibri"/>
        <family val="2"/>
        <scheme val="minor"/>
      </rPr>
      <t>si dépassement du maximum de 10 hectares</t>
    </r>
  </si>
  <si>
    <r>
      <t xml:space="preserve">Plafonnement de l'aide : </t>
    </r>
    <r>
      <rPr>
        <sz val="10"/>
        <color theme="1"/>
        <rFont val="Calibri"/>
        <family val="2"/>
        <scheme val="minor"/>
      </rPr>
      <t>si dépassement des 25% de terres arables en MAEC "Cultures"</t>
    </r>
  </si>
  <si>
    <t>4. MAEC "Tournières Enherbées"</t>
  </si>
  <si>
    <t>5. MAEC "Parcelles Aménagées"</t>
  </si>
  <si>
    <t>6. MAEC "Autonomie Fourragère" (MAEC AF)</t>
  </si>
  <si>
    <t>Superficie fourragère totale estimée</t>
  </si>
  <si>
    <t>Superficie fourragère wallonne estimée</t>
  </si>
  <si>
    <t>Nombre d'UGB herbivores estimés</t>
  </si>
  <si>
    <t>Superficie admissible (prairies permanentes)</t>
  </si>
  <si>
    <t>7. MAEC "Prairies à Haute Valeur Biologique"</t>
  </si>
  <si>
    <t>Superficie non admissible (UG04)</t>
  </si>
  <si>
    <t>Superficie Natura2000 admissible à une prime réduite</t>
  </si>
  <si>
    <t>Superficie admissible à la prime complète</t>
  </si>
  <si>
    <t>Montant unitaire par hectare avec la prime réduite</t>
  </si>
  <si>
    <t>Montant unitaire par hectare de la prime complète</t>
  </si>
  <si>
    <t>Montant pour la superficie admissible en Natura2000</t>
  </si>
  <si>
    <t>Montant pour la superficie admissible (hors UG4 et Natura2000)</t>
  </si>
  <si>
    <t>8. MAEC "Prairies Naturelles"</t>
  </si>
  <si>
    <t>Superficie engagée</t>
  </si>
  <si>
    <t>Superficie non admissible (UG04 &amp; Natura 2000)</t>
  </si>
  <si>
    <t xml:space="preserve">Montant unitaire par hectare </t>
  </si>
  <si>
    <t>Prime octroyée si obtention du seuil minimum de paiement (100€)</t>
  </si>
  <si>
    <t>9. MAEC "Sol"</t>
  </si>
  <si>
    <t>MAEC engagée?</t>
  </si>
  <si>
    <t>Surface admissible à la MAEC "Sol"</t>
  </si>
  <si>
    <t>Surface admissible engagée</t>
  </si>
  <si>
    <t>Surface engagée initialement estimée en situation favorable</t>
  </si>
  <si>
    <t>Surface engagée initialement estimée en situation de transition</t>
  </si>
  <si>
    <t>Surface engagée initialement estimée en situation défavorable</t>
  </si>
  <si>
    <t>Surface éligible évaluée en situation favorable attendue lors de la dernière année</t>
  </si>
  <si>
    <t>Surface éligible évaluée en situation de transition attendue lors de la dernière année</t>
  </si>
  <si>
    <t>Surface éligible évaluée en situation défavorable attendue lors de la dernière année</t>
  </si>
  <si>
    <t>Forfait sol attribué automatiquement pour l'ensemble de la période</t>
  </si>
  <si>
    <t>Montant de base annuel perçu au cours des 4 premières années (ex. 2023)</t>
  </si>
  <si>
    <t>Montant de base final perçu lors de la dernière année (2027)</t>
  </si>
  <si>
    <t>Calcul du bonus lié à l'évolution de la qualité des sols entre l'année initiale et l'année finale (2027)</t>
  </si>
  <si>
    <t>Montant total perçu sur l'ensemble de la période d'engagement (5ans)</t>
  </si>
  <si>
    <t>Evolution estimée de la valeur de votre MAEC SOL</t>
  </si>
  <si>
    <t>Montant perçu- par année</t>
  </si>
  <si>
    <t>11. MAEC Races locales menacées</t>
  </si>
  <si>
    <t>Nombre d'ovins</t>
  </si>
  <si>
    <t>Montant unitaire aide ovins</t>
  </si>
  <si>
    <t>Total MAEC Races Locales Menacées - Ovins</t>
  </si>
  <si>
    <t>Nombre de bovins</t>
  </si>
  <si>
    <t>Nombre de chevaux</t>
  </si>
  <si>
    <t>Montant unitaire aide bovins et équidés</t>
  </si>
  <si>
    <t>Total MAEC Races Locales Menacées - Bovins et Chevaux</t>
  </si>
  <si>
    <t>Total MAEC Races Locales Ménacées - Ovins - Bovins - Chevaux</t>
  </si>
  <si>
    <t>12. MAEC Plan d'action agro-environnemental</t>
  </si>
  <si>
    <t>Superficie totale</t>
  </si>
  <si>
    <t>Plafond de surface (max 50ha)</t>
  </si>
  <si>
    <t>Montant unitaire à payer pour cette superficie</t>
  </si>
  <si>
    <t>Composante X = Montant total à payer (surfaces)</t>
  </si>
  <si>
    <t>Montant total à majorer (hors MB1)</t>
  </si>
  <si>
    <t>Mesures volontaires (ER-MAEC-BIO) ?</t>
  </si>
  <si>
    <t>Composante Y = Montant total aides volontaires</t>
  </si>
  <si>
    <t>5% de Y</t>
  </si>
  <si>
    <t>Montant total (X+Y*0.05)</t>
  </si>
  <si>
    <t>Attention, montant sans tenir compte de vos MB1 et de l'ER Réduction d'Intrants</t>
  </si>
  <si>
    <t>13. Eco-Régime "Prairies Permanentes"</t>
  </si>
  <si>
    <t>Montant unitaire de l'aide de base, indépendant de la charge (€/ha)</t>
  </si>
  <si>
    <t xml:space="preserve">Montant unitaire de l'aide supplémentaire, dépendant de la charge (€/ha) </t>
  </si>
  <si>
    <t>Montant total de l'aide de base</t>
  </si>
  <si>
    <t>Montant total de l'aide supplémentaire</t>
  </si>
  <si>
    <t>14. Eco-Régime "Cultures Favorables à l'Environnement"</t>
  </si>
  <si>
    <t>Superficie admissible en Variante 1</t>
  </si>
  <si>
    <t>Superficie admissible en Variante 2A</t>
  </si>
  <si>
    <t>Superficie admissible en Variante 2B</t>
  </si>
  <si>
    <t>Superficie admissible en Variante 3A</t>
  </si>
  <si>
    <t>Superficie admissible en Variante 3B</t>
  </si>
  <si>
    <t>Superficie admissible totale</t>
  </si>
  <si>
    <t>12. Eco-Régime "Couverture Longue de Sol"</t>
  </si>
  <si>
    <t>Superficie totale de l'exploitation</t>
  </si>
  <si>
    <t>Superficie NON couverte du 01/01/2023 au 15/02/2023</t>
  </si>
  <si>
    <t>Superficie couverte du 01/01/2023 au 15/02/2023</t>
  </si>
  <si>
    <t>Superficie utilisée dans le calcul du ratio de prairies et couverts assimilés</t>
  </si>
  <si>
    <t xml:space="preserve">Pourcentage de prairies et surfaces assimilées </t>
  </si>
  <si>
    <t>Taux de couverture estimé</t>
  </si>
  <si>
    <t>Ce taux correspondont au seuil</t>
  </si>
  <si>
    <t>Votre taux de couverture à atteindre pour chaque seuil d'aide :</t>
  </si>
  <si>
    <t>Seuil d'entrée (=70% + (0,1 * %prairies et surfaces assim.)</t>
  </si>
  <si>
    <t>Seuil intermédiaire</t>
  </si>
  <si>
    <t>Seuil optimal</t>
  </si>
  <si>
    <t>13. Eco-Régime "Maillage Ecologique"</t>
  </si>
  <si>
    <t xml:space="preserve">Avez-vous demandé l'ER Maillage?                                    </t>
  </si>
  <si>
    <t>Etes-vous éligible pour l'éco-régime "Maillage écologique" ?</t>
  </si>
  <si>
    <t>Superficie (en hectares environnementaux) engagée</t>
  </si>
  <si>
    <t>Ratio HE / SAU</t>
  </si>
  <si>
    <t xml:space="preserve">Plafonnement de l'aide : si le ratio HE/SAU dépasse 40% </t>
  </si>
  <si>
    <t>Montant unitaire par hectare environnemental</t>
  </si>
  <si>
    <t>Superficie (en hectares environnementaux) admissible</t>
  </si>
  <si>
    <t>Montant total ER Maillage</t>
  </si>
  <si>
    <t>14. Natura 2000 - Agricole</t>
  </si>
  <si>
    <t>Avez-vous demandé l'intervention Natura2000?</t>
  </si>
  <si>
    <t>Superficie en Natura 2000 UG02 - UG03 - UGTemp1 et UGTemp2</t>
  </si>
  <si>
    <t>Montant total en UG02 - UG03 - UGTemp1 et UGTemp2</t>
  </si>
  <si>
    <t>Superficie en Natura 2000 UG04</t>
  </si>
  <si>
    <t>Montant total en UG04</t>
  </si>
  <si>
    <t>Respect du plafond de 100€ (plafond surface admissible)</t>
  </si>
  <si>
    <t>Montant total Natura 2000</t>
  </si>
  <si>
    <t>15. IZCN et IZCS</t>
  </si>
  <si>
    <t>Avez-vous demandé l'intervention IZCN-IZCS?</t>
  </si>
  <si>
    <t>Superficie en IZCN ou IZCS</t>
  </si>
  <si>
    <t>Surface entre 0 et 20 ha</t>
  </si>
  <si>
    <t>Montant unitaire (surfaces 0 à 20ha)</t>
  </si>
  <si>
    <t>Montant total (surfaces 0 à 20ha)</t>
  </si>
  <si>
    <t>Surface entre 20 et 75 ha</t>
  </si>
  <si>
    <t>Montant unitaire (surfaces 20 à 75ha)</t>
  </si>
  <si>
    <t>Montant total (surfaces 20 à 75ha)</t>
  </si>
  <si>
    <t>Montant total IZCNS</t>
  </si>
  <si>
    <t>16. AGRICULTURE BIOLOGIQUE</t>
  </si>
  <si>
    <t>ELIGIBLE AIDES AGRICULTURE BIOLOGIQUE</t>
  </si>
  <si>
    <t>Surface en Bio</t>
  </si>
  <si>
    <t>SURFACES GROUPE 1</t>
  </si>
  <si>
    <t>PRORATA SUR GROUPE 1 - UGB/SF&lt;0.6</t>
  </si>
  <si>
    <t>AIDES AGRICULTURE BIOLOGIQUE GROUPE 1 (CONVERSION ET MAINTIEN)</t>
  </si>
  <si>
    <t>SURFACES GROUPE 2</t>
  </si>
  <si>
    <t>AIDES AGRICULTURE BIOLOGIQUE GROUPE 2 (CONVERSION ET MAINTIEN)</t>
  </si>
  <si>
    <t>SURFACES GROUPE 3</t>
  </si>
  <si>
    <t>AIDES AGRICULTURE BIOLOGIQUE GROUPE 3 (CONVERSION ET MAINTIEN)</t>
  </si>
  <si>
    <t>SURFACES GROUPE 4</t>
  </si>
  <si>
    <t>AIDES AGRICULTURE BIOLOGIQUE GROUPE 4 (CONVERSION ET MAINTIEN)</t>
  </si>
  <si>
    <t>SURFACES GROUPE 5</t>
  </si>
  <si>
    <t>RESULTAT GROUPE 5 - PETIT MARAICHAGE</t>
  </si>
  <si>
    <t>AIDES AGRICULTURE BIOLOGIQUE GROUPE 5</t>
  </si>
  <si>
    <t>TOTAL AIDES AGRICULTURE BIOLOGIQUE</t>
  </si>
  <si>
    <t>recuperation onglet vos données rubrique BIO</t>
  </si>
  <si>
    <t>Avez-vous un engagement en cours?</t>
  </si>
  <si>
    <t>Suivez vous l'itineraire "Conversion"?</t>
  </si>
  <si>
    <t>L’aide à la conversion représente une majoration de 150 € de l’aide au maintien pendant 2 ans sur les parcelles en conversion pour tous les groupes de culture, excepté le groupe 5 « maraîchage diversifié sur petites surfaces ». </t>
  </si>
  <si>
    <t>Une majoration de 40€/ha en zone vulnérable</t>
  </si>
  <si>
    <t>Souhaitez vous le forfait pour l'aide petit maraicher en BIO</t>
  </si>
  <si>
    <t>Attention, maximum 3ha. Si la surface de votre exploitation est &gt;10ha, vous bénéficiez de la prime arboriculture - maraichage - semences pour ces surfaces</t>
  </si>
  <si>
    <t>prorata</t>
  </si>
  <si>
    <t>&lt;- prairies sans natura2000 - ug2-3-4-5-t1-t2</t>
  </si>
  <si>
    <t>&lt;- si gr4+gr5&gt;10; tarifa gr4</t>
  </si>
  <si>
    <t>CALCUL DE LA PRIME BIO ET RESUME</t>
  </si>
  <si>
    <t>A) CONDITIONS A APPLIQUER</t>
  </si>
  <si>
    <t>CERTIFICATION</t>
  </si>
  <si>
    <t>ENGAGEMENT</t>
  </si>
  <si>
    <t>CONVERSION</t>
  </si>
  <si>
    <t>VULN</t>
  </si>
  <si>
    <t>PETIT MARAICHER</t>
  </si>
  <si>
    <t>conditions administratives base</t>
  </si>
  <si>
    <t>elgibilité administrative (sans engagement / certificat alors out) 1/0</t>
  </si>
  <si>
    <t>B) VERIFICATION PRORATA DE L'EXPLOITATION</t>
  </si>
  <si>
    <t>SURFACES FOURRAGERES DE L'EXPLOITATION</t>
  </si>
  <si>
    <t>Unité</t>
  </si>
  <si>
    <t>ha</t>
  </si>
  <si>
    <t>Parcours (volailles ou porcs) [760]</t>
  </si>
  <si>
    <t>Silphie [748]</t>
  </si>
  <si>
    <r>
      <t>Lotier corniculé (</t>
    </r>
    <r>
      <rPr>
        <i/>
        <sz val="11"/>
        <color theme="1"/>
        <rFont val="Calibri"/>
        <family val="2"/>
        <scheme val="minor"/>
      </rPr>
      <t>Lotus corniculatis</t>
    </r>
    <r>
      <rPr>
        <sz val="11"/>
        <color theme="1"/>
        <rFont val="Calibri"/>
        <family val="2"/>
        <scheme val="minor"/>
      </rPr>
      <t>) [57]</t>
    </r>
  </si>
  <si>
    <t>Luzerne lupuline [56]</t>
  </si>
  <si>
    <r>
      <t>Sainfoin (</t>
    </r>
    <r>
      <rPr>
        <i/>
        <sz val="11"/>
        <color theme="1"/>
        <rFont val="Calibri"/>
        <family val="2"/>
        <scheme val="minor"/>
      </rPr>
      <t>Onobrychis sativa</t>
    </r>
    <r>
      <rPr>
        <sz val="11"/>
        <color theme="1"/>
        <rFont val="Calibri"/>
        <family val="2"/>
        <scheme val="minor"/>
      </rPr>
      <t>) [58]</t>
    </r>
  </si>
  <si>
    <t>Cultures fruitières pluriannuelles - hautes tiges [9726-9730-9731-9732]</t>
  </si>
  <si>
    <t>De fourrages sur parcelles transfrontalières ou en Région Flamande</t>
  </si>
  <si>
    <t>A) TOTAL DES SURFACES FOURRAGERES</t>
  </si>
  <si>
    <t>A) TOTAL DES SURFACES FOURRAGERES wallonnes et plus (pour charge en bétail)</t>
  </si>
  <si>
    <t>ANIMAUX PRESENTS AU SEIN DE L'EXPLOITATION</t>
  </si>
  <si>
    <t>CONVERSION UGB</t>
  </si>
  <si>
    <t>UGB</t>
  </si>
  <si>
    <t>Type de bétail</t>
  </si>
  <si>
    <t>Votre donnée</t>
  </si>
  <si>
    <t>Coefficient UGB</t>
  </si>
  <si>
    <t>Résultat</t>
  </si>
  <si>
    <t>resultat UNITE DE GROS BETAIL (UGB)</t>
  </si>
  <si>
    <t>PRORATA POUR LES PRAIRIES</t>
  </si>
  <si>
    <t>Lorsque la charge en bétail devient inférieure à 0,6 UGB par hectare, le montant de l'aide/ha pour les superficies du groupe de cultures « prairies » est diminué, pour l'année concernée, au prorata du rapport charge réelle/charge seuil (= 0,6 UGB/ha).</t>
  </si>
  <si>
    <t>UGB/SF</t>
  </si>
  <si>
    <t>ugb/SF</t>
  </si>
  <si>
    <t>si UGB/SF &lt;0.6 PRORATA prairies</t>
  </si>
  <si>
    <t>C) DETERMINATION SURFACES NON ADMISSIBLES (PRAIRIES NATURA 2000)</t>
  </si>
  <si>
    <t>PRAIRIES EN NATURA 2000</t>
  </si>
  <si>
    <t>Surface</t>
  </si>
  <si>
    <t>prairies ug2</t>
  </si>
  <si>
    <t>prairies ug3</t>
  </si>
  <si>
    <t>prairies ug4</t>
  </si>
  <si>
    <t>prairies ugt1</t>
  </si>
  <si>
    <t>prairies ugt2</t>
  </si>
  <si>
    <t>total prairies non éligibles à BIO suite à Natura 2000</t>
  </si>
  <si>
    <t>D) ASSOLEMENT (VRAC)</t>
  </si>
  <si>
    <t>ASSOLEMENT DE L'AGRICULTEUR (TA ET CP)</t>
  </si>
  <si>
    <t>Groupe bio</t>
  </si>
  <si>
    <t>SURFACE rubrique 2</t>
  </si>
  <si>
    <t>&lt;- cherche dans les données introduits</t>
  </si>
  <si>
    <t>Avoine d’hiver [341]</t>
  </si>
  <si>
    <t>Epeautre d'hiver [36]</t>
  </si>
  <si>
    <t>Froment d’hiver [311]</t>
  </si>
  <si>
    <t>Mélange de céréales d'hiver uniquement [393]</t>
  </si>
  <si>
    <t>Avoine de printemps [342]</t>
  </si>
  <si>
    <t>Petit épeautre [362]</t>
  </si>
  <si>
    <t>Froment de printemps [312]</t>
  </si>
  <si>
    <t>Orge de printemps [322]</t>
  </si>
  <si>
    <t>Sarrasin [37]</t>
  </si>
  <si>
    <t>Seigle de printemps [332]</t>
  </si>
  <si>
    <t>Triticale de printemps [352]</t>
  </si>
  <si>
    <t>Sorgho [381]</t>
  </si>
  <si>
    <t>Quinoa [382]</t>
  </si>
  <si>
    <t>Millet [383]</t>
  </si>
  <si>
    <t>Caméline [48]</t>
  </si>
  <si>
    <t>Mélanges de caméline et de lentilles [48X]</t>
  </si>
  <si>
    <t>Tournesol [42]</t>
  </si>
  <si>
    <t>Mélange de céréales d'hiver (plus de 50%) et de légumineuses (plus de 20%)  [391]</t>
  </si>
  <si>
    <t>Mélange froment ou épeautre (plus de 50%) et de pois ou féverole (plus de 20%) [397]</t>
  </si>
  <si>
    <t>Cultures fruitières annuelles - Fraises [9516]</t>
  </si>
  <si>
    <t>Cultures fruitières annuelles - Framboises [9717]</t>
  </si>
  <si>
    <t>Cultures fruitière pluriannuelles-basses tiges ( plus de 250 arbres/ha)* [9741]</t>
  </si>
  <si>
    <t>cultures fruitières pluriannuelles (pommes) - basses tiges [9710]</t>
  </si>
  <si>
    <t>cultures fruitières pluriannuelles (poires) - basses tiges [9711]</t>
  </si>
  <si>
    <t>cultures fruitières pluriannuelles (prunes) - basses tiges [9713]</t>
  </si>
  <si>
    <t>cultures fruitières pluriannuelles (cerises) - basses tiges [9725]</t>
  </si>
  <si>
    <t>Cultures horticoles non-comestibles* [96]</t>
  </si>
  <si>
    <t>Plantes aromatiques [953]</t>
  </si>
  <si>
    <t>Plantes médicinales [957]</t>
  </si>
  <si>
    <t>Plantes vivaces ornementales de plein air [9584]</t>
  </si>
  <si>
    <t>Vignes [9716]</t>
  </si>
  <si>
    <t>Ortie [7431]</t>
  </si>
  <si>
    <t>Angélique [881]</t>
  </si>
  <si>
    <t>Houblon [9822]</t>
  </si>
  <si>
    <t>Autres plantes ornementales sous serre [958]</t>
  </si>
  <si>
    <t>Autres cultures de légumes sous serre [9521]</t>
  </si>
  <si>
    <t>Cultures permanentes sous serre* [885]</t>
  </si>
  <si>
    <t>Fleurs et plantes ornementales sous serre [9588]</t>
  </si>
  <si>
    <t>Cultures fruitières annuelles- Fraises sous serres [8516]</t>
  </si>
  <si>
    <t>Autres légumes plein air [951]</t>
  </si>
  <si>
    <t>Autres plantes ornementales de plein air* [954]</t>
  </si>
  <si>
    <t>Asperges (consommation au frais) [9511]</t>
  </si>
  <si>
    <t>Asperges (transformation industrielle) [8511]</t>
  </si>
  <si>
    <t>Brocolis [9525]</t>
  </si>
  <si>
    <t>Carotte ( non hâtive) [9535]</t>
  </si>
  <si>
    <t>Carotte ( hâtive) [9564]</t>
  </si>
  <si>
    <t>Céleri-branche [9551]</t>
  </si>
  <si>
    <t>Céleri-rave [9543]</t>
  </si>
  <si>
    <t>Céleri vert [8548]</t>
  </si>
  <si>
    <t>Cerfeuil [860]</t>
  </si>
  <si>
    <t>Champignons [9536]</t>
  </si>
  <si>
    <t>Chou-rave [9529]</t>
  </si>
  <si>
    <t>Chou de Bruxelles [9512]</t>
  </si>
  <si>
    <t>Chou-fleur [9523]</t>
  </si>
  <si>
    <t>Choux – légumes (consommation au frais) [9548]</t>
  </si>
  <si>
    <t>Choux rouge [9527]</t>
  </si>
  <si>
    <t>Chou blanc [9540]</t>
  </si>
  <si>
    <t>Chou frisé [9524]</t>
  </si>
  <si>
    <t>Chou de Milan [9546]</t>
  </si>
  <si>
    <t>Chou chinois [9526]</t>
  </si>
  <si>
    <t>Concombre [9554]</t>
  </si>
  <si>
    <t>Courgettes ( consommation au frais) [9541]</t>
  </si>
  <si>
    <t>Courges butternut [9456]</t>
  </si>
  <si>
    <t>Echalotes [9513]</t>
  </si>
  <si>
    <t>Endives de Bruxelles (pour la racine) (transformation industrielle) [8561]</t>
  </si>
  <si>
    <t>Endives (chicons) [9515]</t>
  </si>
  <si>
    <t>Epinards [9519]</t>
  </si>
  <si>
    <t>Fenouil ( de Florence) [9534]</t>
  </si>
  <si>
    <t>Laitues pommées [9518]</t>
  </si>
  <si>
    <t>Navette [9530]</t>
  </si>
  <si>
    <t>Oignons (hâtifs) [9563]</t>
  </si>
  <si>
    <t>Oignons (non hâtifs) [9514]</t>
  </si>
  <si>
    <t>Persil [959]</t>
  </si>
  <si>
    <t>Persil à grosse racine [961]</t>
  </si>
  <si>
    <t>Poireau [9538]</t>
  </si>
  <si>
    <t>Rhubarbe ( consommation au frais) [9517]</t>
  </si>
  <si>
    <t>Rhubarbe ( transformation industrielle) [8517]</t>
  </si>
  <si>
    <t>Scaroles (consommation au frais) [9537]</t>
  </si>
  <si>
    <t>Scorsonère [9533]</t>
  </si>
  <si>
    <t>Tomates [9552]</t>
  </si>
  <si>
    <t>Pépinières de plants forestiers [9560]</t>
  </si>
  <si>
    <t>Pépinières de plants fruitiers ou de plantes ornementales [9520]</t>
  </si>
  <si>
    <t>Pomme de terre (plants) [902]</t>
  </si>
  <si>
    <t>Multiplication de semences en mode de production [821]</t>
  </si>
  <si>
    <t>Plants de fraisiers de plein air [9724]</t>
  </si>
  <si>
    <t>Noisetier [9201]</t>
  </si>
  <si>
    <t>Noyer [9202]</t>
  </si>
  <si>
    <t>Colza d’hiver [4111]</t>
  </si>
  <si>
    <t>Navette d’hiver (graines) [4112]</t>
  </si>
  <si>
    <t>Colza de printemps [4121]</t>
  </si>
  <si>
    <t>Navette de printemps (graines) [4122]</t>
  </si>
  <si>
    <t>Lin oléagineux [45]</t>
  </si>
  <si>
    <t>Autres oléagineux ou mélange avec oléagineux prépondérants (plus de 50%) [46]</t>
  </si>
  <si>
    <t>Chanvre textile (culture soumise à autorisation préalable au semis) [922]</t>
  </si>
  <si>
    <t>Chanvre non textile (culture soumise à autorisation préalable au semis) [872]</t>
  </si>
  <si>
    <t>Lin textile d'hiver [921]</t>
  </si>
  <si>
    <t>Lin textile de printemps [923]</t>
  </si>
  <si>
    <t>Pomme de terre (non hâtives) [901]</t>
  </si>
  <si>
    <t>Pomme de terre féculière [903]</t>
  </si>
  <si>
    <t>Pomme de terre hâtives [904]</t>
  </si>
  <si>
    <t>Pomme de terre (primeur, arrachage avant le 20 juin) [905]</t>
  </si>
  <si>
    <t>Carottes fourragères [742]</t>
  </si>
  <si>
    <t>Navets fourragers [746]</t>
  </si>
  <si>
    <t>Soja [43]</t>
  </si>
  <si>
    <t>Fèves et Féveroles d’hiver [521]</t>
  </si>
  <si>
    <t>Fèves et Féveroles de printemps [522]</t>
  </si>
  <si>
    <t>Fenugrec [59]</t>
  </si>
  <si>
    <t>Lupin doux [53]</t>
  </si>
  <si>
    <t>Pois protéagineux d’hiver [511]</t>
  </si>
  <si>
    <t>Pois protéagineux de printemps [512]</t>
  </si>
  <si>
    <t>Pois récoltés à l’état frais, pois de conserverie [931]</t>
  </si>
  <si>
    <t>Haricots [9410]</t>
  </si>
  <si>
    <t>Légume légumineuse [966]</t>
  </si>
  <si>
    <t>Betterave fourragère [71]</t>
  </si>
  <si>
    <t>Betterave sucrière [91]</t>
  </si>
  <si>
    <t>Chicorée à inuline [9811]</t>
  </si>
  <si>
    <t>Chicorée à café [9812]</t>
  </si>
  <si>
    <t>PRAIRIES</t>
  </si>
  <si>
    <t>&lt;- va chercher la surface de prairies permanentes (600 à 670)</t>
  </si>
  <si>
    <t>formule différente: donnée choppé directement de "vos données"</t>
  </si>
  <si>
    <t>RESUME DE L'ASSOLEMENT</t>
  </si>
  <si>
    <t>GLOBAL</t>
  </si>
  <si>
    <t>PRORATA</t>
  </si>
  <si>
    <t>REPONSE AGRICULTEUR</t>
  </si>
  <si>
    <t>(plus majoration si réponse ok)</t>
  </si>
  <si>
    <t>Majoration en zone vulnérable (euros/ha) </t>
  </si>
  <si>
    <t>TOTAL EUROS</t>
  </si>
  <si>
    <t>0-60</t>
  </si>
  <si>
    <t>&gt;60</t>
  </si>
  <si>
    <t>0 à 60 ha </t>
  </si>
  <si>
    <t>Au-delà du 60ème ha </t>
  </si>
  <si>
    <t>selon primes</t>
  </si>
  <si>
    <t>GR1</t>
  </si>
  <si>
    <t>GR2</t>
  </si>
  <si>
    <t>GR3</t>
  </si>
  <si>
    <t>0-3</t>
  </si>
  <si>
    <t>3-14</t>
  </si>
  <si>
    <t>&gt;14</t>
  </si>
  <si>
    <t>0 à 3 ha </t>
  </si>
  <si>
    <t>3 à 14 ha </t>
  </si>
  <si>
    <t>&gt;14ha </t>
  </si>
  <si>
    <t>selon conditions</t>
  </si>
  <si>
    <t>GR4</t>
  </si>
  <si>
    <t>GR5</t>
  </si>
  <si>
    <t>ONGLET RESULTATS</t>
  </si>
  <si>
    <t>RESUME</t>
  </si>
  <si>
    <t>PRORATA UGB/SF &lt;0.6</t>
  </si>
  <si>
    <t>Code</t>
  </si>
  <si>
    <t>Culture</t>
  </si>
  <si>
    <t>Rubrique</t>
  </si>
  <si>
    <t>Nomenclature Simulateur V5</t>
  </si>
  <si>
    <t>Autres mélanges (avec moins de 50 % de graminées) que ceux déjà listés</t>
  </si>
  <si>
    <t>1.5. D'autres légumineuses et fourrages</t>
  </si>
  <si>
    <t>Avoine de printemps</t>
  </si>
  <si>
    <t>1.3. De céréales, en culture pure ou en mélange</t>
  </si>
  <si>
    <t>Bande bordure de champ SIE</t>
  </si>
  <si>
    <t>3.13. Eco-Régime "Maillage Ecologique"</t>
  </si>
  <si>
    <t xml:space="preserve">Bande ou parcelle aménagée MAEC MC7 MC8 </t>
  </si>
  <si>
    <t>Cameline</t>
  </si>
  <si>
    <t>1.4. De cultures moins intensives et autes mélanges</t>
  </si>
  <si>
    <t>Carottes fourragères</t>
  </si>
  <si>
    <t>Chanvre non textile (culture soumise à autorisation préalable au semis)</t>
  </si>
  <si>
    <t>Chanvre textile (culture soumise à autorisation préalable au semis)</t>
  </si>
  <si>
    <t>Cultures fruitière pluriannuelles-hautes tiges ( de 50 à 250 arbres/ha)</t>
  </si>
  <si>
    <t>1.6. Fruitiers hautes tiges</t>
  </si>
  <si>
    <t>Cultures fruitières pluriannuelles (cerises) -hautes tiges</t>
  </si>
  <si>
    <t>cultures fruitières pluriannuelles (poires) - hautes tiges</t>
  </si>
  <si>
    <t>cultures fruitières pluriannuelles (pommes) -hautes tiges</t>
  </si>
  <si>
    <t>cultures fruitières pluriannuelles (prunes) - hautes tiges</t>
  </si>
  <si>
    <t>Epeautre de printemps</t>
  </si>
  <si>
    <t>Epeautre d'hiver</t>
  </si>
  <si>
    <t>Fenugrec</t>
  </si>
  <si>
    <t>1.2. De protéagineux</t>
  </si>
  <si>
    <t>Fèves et Féveroles d’hiver</t>
  </si>
  <si>
    <t xml:space="preserve">Fèves et Féveroles de printemps </t>
  </si>
  <si>
    <t>Froment d’hiver</t>
  </si>
  <si>
    <t>Froment de printemps</t>
  </si>
  <si>
    <t>Haricots</t>
  </si>
  <si>
    <t>Jachère fourragère herbacée</t>
  </si>
  <si>
    <t>Jachère fourragère NON herbacée</t>
  </si>
  <si>
    <t>Jachères mellifères</t>
  </si>
  <si>
    <t>Légume légumineuse</t>
  </si>
  <si>
    <t>Lentilles</t>
  </si>
  <si>
    <t>Lotier corniculé (Lotus corniculatis)</t>
  </si>
  <si>
    <t>1.1. De légumineuses fourragères</t>
  </si>
  <si>
    <t>Lupin doux</t>
  </si>
  <si>
    <t>Luzerne</t>
  </si>
  <si>
    <t>Luzerne lupuline</t>
  </si>
  <si>
    <t>Maïs en grain</t>
  </si>
  <si>
    <t xml:space="preserve">Maïs ensilage </t>
  </si>
  <si>
    <t xml:space="preserve">Mélange de céréales de printemps (+50%) et de légumineuses (+20%) </t>
  </si>
  <si>
    <t>Mélange de céréales de printemps uniquement</t>
  </si>
  <si>
    <t xml:space="preserve">Mélange de céréales d'hiver (+50%) et de légumineuses (+20%) </t>
  </si>
  <si>
    <t>Mélange de céréales d'hiver uniquement</t>
  </si>
  <si>
    <t>Mélange de printemps de légumineuses prépondérantes (plus de 50%) et  de céréales ou autres espèces</t>
  </si>
  <si>
    <t>Mélange d'hiver de légumineuses prépondérantes  (plus de 50%) et de céréales ou autres espèces</t>
  </si>
  <si>
    <t>Mélange froment ou épeautre (plus de 50%) et de pois ou féverole (plus de 20%)</t>
  </si>
  <si>
    <t>Mélanges de caméline et de lentilles vertes ou de lentilles brunes.</t>
  </si>
  <si>
    <t>Millet</t>
  </si>
  <si>
    <t>Navets fourragers</t>
  </si>
  <si>
    <t>Orge de brasserie</t>
  </si>
  <si>
    <t>Orge de printemps</t>
  </si>
  <si>
    <t>Parcours (volailles ou porcs)</t>
  </si>
  <si>
    <t>Petit épeautre</t>
  </si>
  <si>
    <t>Pois chiches</t>
  </si>
  <si>
    <t>Pois protéagineux d’hiver</t>
  </si>
  <si>
    <t>Pois protéagineux de printemps</t>
  </si>
  <si>
    <t>Pois récoltés à l’état frais, pois de conserverie</t>
  </si>
  <si>
    <t>Prairie à vocation à devenir permanente pour les parcelles en MAEC et N2000</t>
  </si>
  <si>
    <t>Prairie permanente (50%&lt;taux de couverture &lt;= 90%), avec contrat d'aide complémentaire environnemental, hors rotation depuis 5 ans</t>
  </si>
  <si>
    <t>Surfaces de prairies permanentes [600-614]</t>
  </si>
  <si>
    <t>Prairie permanente (50%&lt;taux de couverture &lt;= 90%), hors rotation depuis 5 ans</t>
  </si>
  <si>
    <t>Prairie permanente (taux de couverture &lt;= 50%), avec contrat d'aide complémentaire environnemental, hors rotation depuis 5 ans</t>
  </si>
  <si>
    <t>Prairie permanente (taux de couverture &lt;= 50%), hors rotation depuis 5 ans</t>
  </si>
  <si>
    <t>Prairie permanente (taux de couverture &gt; 90%), avec contrat d'aide complémentaire environnemental, hors rotation depuis 5 ans</t>
  </si>
  <si>
    <t>Prairie permanente (taux de couverture &gt; 90%), hors rotation depuis 5 ans</t>
  </si>
  <si>
    <t>Prairie temporaire (plus de 50 % graminées)</t>
  </si>
  <si>
    <t>Quinoa</t>
  </si>
  <si>
    <t>Sainfoin (Onobrychis sativa)</t>
  </si>
  <si>
    <t>Sarrasin</t>
  </si>
  <si>
    <t>Seigle de printemps</t>
  </si>
  <si>
    <t>Silphie</t>
  </si>
  <si>
    <t>Soja</t>
  </si>
  <si>
    <t>Sorgho</t>
  </si>
  <si>
    <t>Tournesol</t>
  </si>
  <si>
    <t>Tournière enherbée MAEC MB5</t>
  </si>
  <si>
    <t>Trèfles</t>
  </si>
  <si>
    <t>Triticale d’hiver</t>
  </si>
  <si>
    <t>Triticale de printemps</t>
  </si>
  <si>
    <t>Vesce</t>
  </si>
  <si>
    <t>1. Code_LegumFourrage</t>
  </si>
  <si>
    <t>2. Code_Protea</t>
  </si>
  <si>
    <t>CODE_ON</t>
  </si>
  <si>
    <t>Code_SNP_TA</t>
  </si>
  <si>
    <t>Rubrique 2.8</t>
  </si>
  <si>
    <t>CC</t>
  </si>
  <si>
    <t>autres rubriques que 2.8</t>
  </si>
  <si>
    <t>Bande bordure de champ SIE [752] jusqu'au 15/07 (hectare)</t>
  </si>
  <si>
    <t>Bande bordure de champ SIE [752] jusqu'au 31/07 (hectare)</t>
  </si>
  <si>
    <t>Jachères (enherbées et autres) [811 - 812] jusqu'au 15/07 (hectare)</t>
  </si>
  <si>
    <t>ok</t>
  </si>
  <si>
    <t>Jachères (enherbées et autres) [811 - 812] jusqu'au 31/07 (hectare)</t>
  </si>
  <si>
    <t>Jachères mellifères [813] jusqu'au 15/07 (hectare)</t>
  </si>
  <si>
    <t>ANNEES</t>
  </si>
  <si>
    <t>Jachères mellifères [813] jusqu'au 31/07 (hectare)</t>
  </si>
  <si>
    <t>4. Code_CMI</t>
  </si>
  <si>
    <t>Surfaces portant des cultures dérobées (hectare)</t>
  </si>
  <si>
    <t>Surfaces portant des plantes fixant l'azote (hectare)</t>
  </si>
  <si>
    <t>Arbres alignés (mètre)</t>
  </si>
  <si>
    <t>Arbres isolés (nombre)</t>
  </si>
  <si>
    <t>Arbres proches (nombre)</t>
  </si>
  <si>
    <t>3. Code_Cereales</t>
  </si>
  <si>
    <t>5. Code_Autres</t>
  </si>
  <si>
    <t>Fossés (mètre)</t>
  </si>
  <si>
    <t>Talus (mètre)</t>
  </si>
  <si>
    <t>Disp_PP</t>
  </si>
  <si>
    <t>6. Code_Fruit</t>
  </si>
  <si>
    <t>Prairies de liaison Natura 2000 - UG05 (hectare)</t>
  </si>
  <si>
    <t>Disp_CP</t>
  </si>
  <si>
    <t>SNAdmissible</t>
  </si>
  <si>
    <t>Betteraves (fourragères &amp;sucrières [71 - 91]</t>
  </si>
  <si>
    <t>Chicorée [9811 - 9812]</t>
  </si>
  <si>
    <t>Pomme de terre [902 - 901 - 903 - 904 - 905]</t>
  </si>
  <si>
    <t>destination</t>
  </si>
  <si>
    <t>Lin oléagineux [45] et textile [921]</t>
  </si>
  <si>
    <t>BCAE8 &amp; ER</t>
  </si>
  <si>
    <t>Colza d'hiver [4111]</t>
  </si>
  <si>
    <t>Fleurs</t>
  </si>
  <si>
    <t xml:space="preserve">Haricots [9410] </t>
  </si>
  <si>
    <t>Seigle d'hiver [code à attribuer]</t>
  </si>
  <si>
    <t>Avoine d'hiver [code à attribuer]</t>
  </si>
  <si>
    <t xml:space="preserve">BCAE8 </t>
  </si>
  <si>
    <t>Parcelles de céréales laissées sur pied (hectares éligibles)</t>
  </si>
  <si>
    <t>JACHERES UKRAINE - A DECOMPTER</t>
  </si>
  <si>
    <t>Jachère herbacée [811]</t>
  </si>
  <si>
    <t>Jachère non herbacée ( jachère faune, sol nu) [812]</t>
  </si>
  <si>
    <t>Jachère mellifère [813]</t>
  </si>
  <si>
    <t>Tournière enherbée MAEC MB5 [751]</t>
  </si>
  <si>
    <t>Bande/parcelle aménagée MAEC - MC7 [754]</t>
  </si>
  <si>
    <t>Bande bordure de champ [752]</t>
  </si>
  <si>
    <t>Cultures forestières à rotation courte (taillis à très courte rotation) [883]</t>
  </si>
  <si>
    <t>Miscanthus [884]</t>
  </si>
  <si>
    <t>Tabac [9821]</t>
  </si>
  <si>
    <t>Terres retirées de la production [873]</t>
  </si>
  <si>
    <t>Couvert à finalité environnementale rémunéré par des tiers privés (éolienne,…) [874]</t>
  </si>
  <si>
    <t>Autres couverts semés que ceux déjà listés * [85]</t>
  </si>
  <si>
    <t>Sapins de Noël / Résineux [962]</t>
  </si>
  <si>
    <t>Culture hydroponique [19]</t>
  </si>
  <si>
    <t>PARTS ENCODEES</t>
  </si>
  <si>
    <t>Aide de base au revenu</t>
  </si>
  <si>
    <t>Niveau Max.</t>
  </si>
  <si>
    <t>Moyenne</t>
  </si>
  <si>
    <t>Niveau Min.</t>
  </si>
  <si>
    <t>PP</t>
  </si>
  <si>
    <t>Coeff.</t>
  </si>
  <si>
    <t>Montant par valeur de DPB 2022</t>
  </si>
  <si>
    <t>Correction 1</t>
  </si>
  <si>
    <t>Montant par valeur de DPB après correction 1</t>
  </si>
  <si>
    <t>Correction 2 Convergence</t>
  </si>
  <si>
    <t>DPB 2023</t>
  </si>
  <si>
    <t>DPB 2024</t>
  </si>
  <si>
    <t>DPB 2025</t>
  </si>
  <si>
    <t>DPB 2026</t>
  </si>
  <si>
    <t>Seuils de plafonnement et dégressivité</t>
  </si>
  <si>
    <t>Montant 2022</t>
  </si>
  <si>
    <t>Montant 2023</t>
  </si>
  <si>
    <t>Montant 2024</t>
  </si>
  <si>
    <t>Montant 2025</t>
  </si>
  <si>
    <t>TOTAUX</t>
  </si>
  <si>
    <t>Pour info, réduction de :</t>
  </si>
  <si>
    <t xml:space="preserve">PAIEMENT REDISTRIBUTIF </t>
  </si>
  <si>
    <t>PP ou association sans P Juridique</t>
  </si>
  <si>
    <t>Plafond (ha)</t>
  </si>
  <si>
    <t xml:space="preserve">Superficie totale de l'exploitation : </t>
  </si>
  <si>
    <t>Montant unitaire €/ha</t>
  </si>
  <si>
    <t>Admissibilité?</t>
  </si>
  <si>
    <t>% des parts</t>
  </si>
  <si>
    <t>ha / % parts</t>
  </si>
  <si>
    <t>Plafonnement</t>
  </si>
  <si>
    <t>Min. éligible</t>
  </si>
  <si>
    <t xml:space="preserve">Montant min. </t>
  </si>
  <si>
    <t>Montant retenu :</t>
  </si>
  <si>
    <t>PAIEMENT "jeune agriculteur"</t>
  </si>
  <si>
    <t>Demandez-vous l'aide?</t>
  </si>
  <si>
    <t>Déjà demandée avant?</t>
  </si>
  <si>
    <t>Si oui, quand?</t>
  </si>
  <si>
    <t>0 = pas de demande</t>
  </si>
  <si>
    <t>Montant entre 0 et 50 ha (€/ha) :</t>
  </si>
  <si>
    <t>1 = demande entre 2019 et 2023</t>
  </si>
  <si>
    <t>Montant entre 50 et 100 ha (€/ha) :</t>
  </si>
  <si>
    <t>2 = demande avant 2019</t>
  </si>
  <si>
    <t>Calcul de référence</t>
  </si>
  <si>
    <t>JA</t>
  </si>
  <si>
    <t xml:space="preserve">JA x </t>
  </si>
  <si>
    <t>ha / % parts
 "JA"</t>
  </si>
  <si>
    <t>ha éligibles 
1ère tranche</t>
  </si>
  <si>
    <t>ha éligibles 
2ème tranche</t>
  </si>
  <si>
    <t>TOTAL 
corrigé 
(référence)</t>
  </si>
  <si>
    <t>PP 1</t>
  </si>
  <si>
    <t>PP 2</t>
  </si>
  <si>
    <t>PP 3</t>
  </si>
  <si>
    <t>PP 4</t>
  </si>
  <si>
    <t>PP 5</t>
  </si>
  <si>
    <t>PP 6</t>
  </si>
  <si>
    <t>IZCN - IZCNS</t>
  </si>
  <si>
    <t>Questions?</t>
  </si>
  <si>
    <t>Veuillez encoder la surface de votre exploitation en dehors de ces zones</t>
  </si>
  <si>
    <t>Les parcelles situées en dehors de la zone IZCN - IZCS ne peuvent pas bénéficier de l'aide, veuillez encoder la surface en dehors de ces zones.</t>
  </si>
  <si>
    <t>Selon les données que vous avez encodé en E16 (Surface Agricole Utile de votre exploitation)</t>
  </si>
  <si>
    <t>Libellé</t>
  </si>
  <si>
    <t>IZCNS</t>
  </si>
  <si>
    <t>QUESTION/REPONSE</t>
  </si>
  <si>
    <t>Surface totale éligible</t>
  </si>
  <si>
    <t>Ha</t>
  </si>
  <si>
    <t>Surface &lt;20Ha</t>
  </si>
  <si>
    <t>MONTANT UNITAIRE A € (Surface 0-20ha)</t>
  </si>
  <si>
    <t>1° 50 euros par hectare pour les 20 premières hectares</t>
  </si>
  <si>
    <t>MONTANT A PAYER (Surface &lt;20Ha)</t>
  </si>
  <si>
    <t>Surface &gt;20Ha et &lt;75Ha</t>
  </si>
  <si>
    <t>MONTANT UNITAIRE B (Surface 20-75ha)</t>
  </si>
  <si>
    <t>2° 30 euros par hectare au-delà du vingtième hectare.</t>
  </si>
  <si>
    <t>MONTANT A PAYER (Surface &gt;20Ha et &lt;75ha)</t>
  </si>
  <si>
    <t>Le montant de l’aide est calculé en tenant compte de la somme des hectares de surface agricole qu'exploite l'agriculteur dans les deux types de zone et est fixé par tranche de surface agricole de la manière suivante :</t>
  </si>
  <si>
    <t>ONGLET VOS RESULTATS</t>
  </si>
  <si>
    <t>PLAFOND ADMINISTRATIF (DOSSIER &gt;100€)</t>
  </si>
  <si>
    <t>L’agriculteur ne bénéficie pas de l’aide si le montant total de l’aide qui devrait lui être accordé est inférieur à 100 euros.</t>
  </si>
  <si>
    <t>MONTANT A ALLOUER</t>
  </si>
  <si>
    <t>contrôle</t>
  </si>
  <si>
    <t>Si non,  pas de déplafonnement :</t>
  </si>
  <si>
    <t>Demande d'aide "SC VL"</t>
  </si>
  <si>
    <t>PP1</t>
  </si>
  <si>
    <t>Demande d'aide "SC VM"</t>
  </si>
  <si>
    <t>PP2</t>
  </si>
  <si>
    <t>Demande d'aide "SC VV"</t>
  </si>
  <si>
    <t>PP3</t>
  </si>
  <si>
    <t>Demande d'aide "SC brebis"</t>
  </si>
  <si>
    <t>PP4</t>
  </si>
  <si>
    <t>Groupement de personnes physiques ou une association sans personnalité juridique ?</t>
  </si>
  <si>
    <t>PP5</t>
  </si>
  <si>
    <t>PP6</t>
  </si>
  <si>
    <t>Brebis</t>
  </si>
  <si>
    <t>Si &gt;= 30 et &lt;= 400 Brebis</t>
  </si>
  <si>
    <t xml:space="preserve">Montant unitaire (€) : </t>
  </si>
  <si>
    <t>Nbre brebis potentiellement éligible :</t>
  </si>
  <si>
    <t>PP (indep ou aidant)</t>
  </si>
  <si>
    <t>% de part</t>
  </si>
  <si>
    <t>VL/%parts</t>
  </si>
  <si>
    <t>Aide</t>
  </si>
  <si>
    <t>Personne physique 1</t>
  </si>
  <si>
    <t>Check max</t>
  </si>
  <si>
    <t>Personne physique 2</t>
  </si>
  <si>
    <t>max. éligible</t>
  </si>
  <si>
    <t>Personne physique 3</t>
  </si>
  <si>
    <t>Personne physique 4</t>
  </si>
  <si>
    <t>montant max</t>
  </si>
  <si>
    <t>Personne physique 5</t>
  </si>
  <si>
    <t>Personne physique 6</t>
  </si>
  <si>
    <t>montant retenu</t>
  </si>
  <si>
    <t>Total de :</t>
  </si>
  <si>
    <t>Vaches Laitières</t>
  </si>
  <si>
    <t>1. Calcul du nbre d'animaux admissibles - Vaches Laitières</t>
  </si>
  <si>
    <t>(A)</t>
  </si>
  <si>
    <t>de taux de vêlage</t>
  </si>
  <si>
    <t>Nbre de vêlage X 1</t>
  </si>
  <si>
    <t>(B)</t>
  </si>
  <si>
    <t>Nbre veaux</t>
  </si>
  <si>
    <t>Nbre de veaux X 10</t>
  </si>
  <si>
    <t>(C)</t>
  </si>
  <si>
    <t>Nombre potentiellement adm.</t>
  </si>
  <si>
    <t>le plus petit de (A) (B) et (C)</t>
  </si>
  <si>
    <t>2. Application du seuil</t>
  </si>
  <si>
    <t>Vaches laitières</t>
  </si>
  <si>
    <t>Si &gt;= 10 et &lt;= 50 VL</t>
  </si>
  <si>
    <t>Vaches Mixtes</t>
  </si>
  <si>
    <t>1. Calcul du nbre d'animaux admissibles - Vaches Mixtes</t>
  </si>
  <si>
    <t>Nbre de veaux X 2</t>
  </si>
  <si>
    <t>Si &gt;= 10 et &lt;= 100 VM</t>
  </si>
  <si>
    <t>Vaches viandeuses</t>
  </si>
  <si>
    <t>1. Calcul du nbre d'animaux admissibles - Vaches Viandeuses</t>
  </si>
  <si>
    <t>Vaches viandeuses (18-120mois) (coef. UGB = 0,8)</t>
  </si>
  <si>
    <t xml:space="preserve">Nbre de vêlage X 1,33 </t>
  </si>
  <si>
    <t>Nbre de veaux X 3</t>
  </si>
  <si>
    <t>Nombre d'animaux potentiellement adm.</t>
  </si>
  <si>
    <t>le plus petit de (A), (B) et (C)</t>
  </si>
  <si>
    <t>3. Réduction en fonction de la charge en bétail si plus 5 UGB/ha en 2023</t>
  </si>
  <si>
    <t>UGB/ha</t>
  </si>
  <si>
    <t>Vaches Viandeuses</t>
  </si>
  <si>
    <t>Si &gt;= 10 et &lt;= 145 VV</t>
  </si>
  <si>
    <t>VV/%parts</t>
  </si>
  <si>
    <t>Animaux admissibles</t>
  </si>
  <si>
    <t>Total :</t>
  </si>
  <si>
    <t>CAMPAGNE 2023 - SIMULATEUR D'AIDE A LA DECISION
Soutien couplé aux cultures de protéines végétales</t>
  </si>
  <si>
    <t>Activation du Soutien Couplé Protéagineaux</t>
  </si>
  <si>
    <t>Protéagineux</t>
  </si>
  <si>
    <t>(B) Montant unitaire</t>
  </si>
  <si>
    <t>€</t>
  </si>
  <si>
    <t>Prime à payer</t>
  </si>
  <si>
    <t>CAMPAGNE 2023 - SIMULATEUR D'AIDE A LA DECISION
Simulateur  BCAE 8</t>
  </si>
  <si>
    <t>NOM</t>
  </si>
  <si>
    <t>BCAE 8</t>
  </si>
  <si>
    <t>FAMILLES SIE</t>
  </si>
  <si>
    <t>ETIQUETTE SIMULATEUR</t>
  </si>
  <si>
    <t>PARTIE 1 - RENSEIGNEMENTS POUR ETABLIR L'EXIGENCE ET L'EXEMPTION EN MATIERE DE BCAE 8</t>
  </si>
  <si>
    <t>Prairie permanente (taux de couverture &gt; 90%), hors rotation depuis 5 ans****</t>
  </si>
  <si>
    <t>OK</t>
  </si>
  <si>
    <t>Surface agricole - Prairies permanentes</t>
  </si>
  <si>
    <t>Prairie permanente (taux de couverture &gt; 90%),avec contrat d’aide complémentaire environnemental, hors rotation depuis 5 ans****</t>
  </si>
  <si>
    <t>Prairie permanente (50%&lt;taux de couverture &lt;= 90%), hors rotation depuis 5 ans****</t>
  </si>
  <si>
    <t>600 - 610 -614 -618</t>
  </si>
  <si>
    <t>Prairie permanente (50%&lt;taux de couverture &lt;= 90%), avec contrat d’aide complémentaire environnemental, hors rotation depuis 5 ans****</t>
  </si>
  <si>
    <t>Autres surfaces pâturées (taux de couverture &lt;= 50%), hors rotation depuis 5 ans****</t>
  </si>
  <si>
    <t>Surface non agricole</t>
  </si>
  <si>
    <t>(D) Superficie - Mes parcelles en MB6 (Céréales sur pied)</t>
  </si>
  <si>
    <t>Autres surfaces pâturées (taux de couverture &lt;= 50%), avec contrat d’aide complémentaire environnemental, hors rotation depuis 5 ans****</t>
  </si>
  <si>
    <t>Surface agricole - Terres arables - Herbe ou plante fourragère herbacée</t>
  </si>
  <si>
    <t>Surfaces destinées à la production d'herbe, du fourrage, des légumineuses et prés vergers à haute tige</t>
  </si>
  <si>
    <t>Prairie à vocation à devenir permanente pour les parcelles en MAEC  et  N2000</t>
  </si>
  <si>
    <t>Surface agricole - Terres arables - Légumineuse</t>
  </si>
  <si>
    <t>Sainfoin ( Onobrychis sativa)</t>
  </si>
  <si>
    <t>Fèves et Féveroles de printemps</t>
  </si>
  <si>
    <t>Mélange de printemps de légumineuses prépondérantes  (plus de 50%) et  de céréales ou autres espèces</t>
  </si>
  <si>
    <r>
      <t xml:space="preserve">Cultures fruitière pluriannuelles-hautes tiges </t>
    </r>
    <r>
      <rPr>
        <sz val="9"/>
        <rFont val="Calibri"/>
        <family val="2"/>
        <scheme val="minor"/>
      </rPr>
      <t>( de 50 à 250 arbres/ha)</t>
    </r>
    <r>
      <rPr>
        <sz val="9"/>
        <color rgb="FF231F20"/>
        <rFont val="Calibri"/>
        <family val="2"/>
        <scheme val="minor"/>
      </rPr>
      <t>*</t>
    </r>
  </si>
  <si>
    <t>Surface agricole - CP - Prairies</t>
  </si>
  <si>
    <t xml:space="preserve"> Cultures fruitières pluriannuelles (cerises) -hautes tiges</t>
  </si>
  <si>
    <t>Cultures fruitières pluriannuelles (prunes) - hautes tiges</t>
  </si>
  <si>
    <t>Cultures fruitières pluriannuelles (pommes) -hautes tiges</t>
  </si>
  <si>
    <t xml:space="preserve"> Cultures fruitières pluriannuelles (poires) - hautes tiges</t>
  </si>
  <si>
    <t>Jachère herbacée</t>
  </si>
  <si>
    <t>Surface agricole - TA - Jachère</t>
  </si>
  <si>
    <t>Jachère non herbacée ( jachère faune, sol nu)</t>
  </si>
  <si>
    <t>Jachère mellifère</t>
  </si>
  <si>
    <t>Bande/parcelle aménagée MAEC -  MC7, MC8</t>
  </si>
  <si>
    <t>PARTIE 2 - EXEMPTION EN MATIERE DE BCAE 8</t>
  </si>
  <si>
    <t>Possibilités d'exemption</t>
  </si>
  <si>
    <t>surface</t>
  </si>
  <si>
    <t>hectares de reference (ta ou sau)</t>
  </si>
  <si>
    <t>%</t>
  </si>
  <si>
    <t>RATIO 1 plus de 75 % des terres arables de l’exploitation sont consacrés à la production d’herbe ou d’autres plantes fourragères herbacées, sont laissés en jachère, sont consacrés à la culture de légumineuses ou sont soumis à une combinaison de ces utilisations ;</t>
  </si>
  <si>
    <t>résultat</t>
  </si>
  <si>
    <t>les tournières enherbées rentrent dans les ratios 1 et 2</t>
  </si>
  <si>
    <t xml:space="preserve">RATIO 2 plus de 75 % de la surface agricole admissible de l’exploitation sont constitués de prairies permanentes, sont utilisés pour la production d’herbe ou d’autres plantes fourragères herbacées ou sont soumis à une combinaison de ces utilisations ; </t>
  </si>
  <si>
    <t>Les jachères ne rentrent pas en 2, les tournières oui</t>
  </si>
  <si>
    <t>TAILLE votre surface en TA est inférieure à 10Ha</t>
  </si>
  <si>
    <t>so</t>
  </si>
  <si>
    <t>FEUX</t>
  </si>
  <si>
    <t>Votre résultat par rapport à l'exemption en matière de BCAE 8</t>
  </si>
  <si>
    <t>PARTIE 3 - SURFACES NON PRODUCTIVES</t>
  </si>
  <si>
    <t>Coefficient de conversion</t>
  </si>
  <si>
    <t>Coefficient de pondération</t>
  </si>
  <si>
    <t>Surface non productive équivalente (ha)</t>
  </si>
  <si>
    <t>Vos données</t>
  </si>
  <si>
    <t>Totale (ha)</t>
  </si>
  <si>
    <t>m</t>
  </si>
  <si>
    <t>Arbres alignés (par mètre linéaire)</t>
  </si>
  <si>
    <t>nombre</t>
  </si>
  <si>
    <t>Arbres isolés (par arbre)</t>
  </si>
  <si>
    <r>
      <t xml:space="preserve">Arbres proches </t>
    </r>
    <r>
      <rPr>
        <sz val="10"/>
        <color rgb="FF000000"/>
        <rFont val="Century Gothic"/>
        <family val="2"/>
      </rPr>
      <t>(par arbre)</t>
    </r>
  </si>
  <si>
    <r>
      <t xml:space="preserve">Arbustes et buissons isolés </t>
    </r>
    <r>
      <rPr>
        <sz val="10"/>
        <color rgb="FF000000"/>
        <rFont val="Century Gothic"/>
        <family val="2"/>
      </rPr>
      <t>(par arbuste ou buisson)</t>
    </r>
  </si>
  <si>
    <t>Bordures de champs (ha)</t>
  </si>
  <si>
    <t>1,5</t>
  </si>
  <si>
    <t>Bosquets (par ha)</t>
  </si>
  <si>
    <t>Fossés (par mètre linéaire)</t>
  </si>
  <si>
    <t>Haies (par mètre linéaire)</t>
  </si>
  <si>
    <t>Mares (par mètre carré)</t>
  </si>
  <si>
    <t>Parcelles aménagées (par ha)</t>
  </si>
  <si>
    <t>Tournières enherbées (par ha)</t>
  </si>
  <si>
    <t>Surfaces de jachères mellifères ha)</t>
  </si>
  <si>
    <t>Talus (1mL =1m2)</t>
  </si>
  <si>
    <t>Terres en jachère (ha)</t>
  </si>
  <si>
    <t>Parcelles de céréales laissées sur pied (ha)</t>
  </si>
  <si>
    <t xml:space="preserve">Surfaces portant des plantes fixant l'azote (ha) </t>
  </si>
  <si>
    <t>Surfaces portant des cultures dérobées (ha)</t>
  </si>
  <si>
    <t>Jachères cultivées  - dérogation 2023</t>
  </si>
  <si>
    <t>Résultats de conversion et de pondération</t>
  </si>
  <si>
    <t>Total</t>
  </si>
  <si>
    <t>(D) Votre surface non productive (Ha) hors dérogation</t>
  </si>
  <si>
    <t>.</t>
  </si>
  <si>
    <t>(E) Votre surface non productive (Ha) avec dérogation</t>
  </si>
  <si>
    <t>(F) Vos portant des cultures dérobées et des plantes fixant l'azote</t>
  </si>
  <si>
    <t>(G) Votre surface en Terres arables (y compris vos prairies temporaires)</t>
  </si>
  <si>
    <t>Respect BCAE 8</t>
  </si>
  <si>
    <t>Activation jachère ukraine</t>
  </si>
  <si>
    <t>Dérogation "jachères cultivées"</t>
  </si>
  <si>
    <t>Résultat en termes de surfaces non productives, tenant compte de la dérogation</t>
  </si>
  <si>
    <t>RESULTAT RESPECT BCAE 8 - AVEC JACHERES UKRAINE</t>
  </si>
  <si>
    <t>Résultat en termes de surface sans dérogation</t>
  </si>
  <si>
    <t>SANS DEROGATION</t>
  </si>
  <si>
    <t>AVEC DEROGATION</t>
  </si>
  <si>
    <t>Condition a) Vous avez au moins 4% des surfaces non productives (sauf cultures dérobées et plantes fixant l'azote)</t>
  </si>
  <si>
    <t xml:space="preserve">  o Votre résultat en ce qui concerne les surfaces non productives</t>
  </si>
  <si>
    <t>Condition b) Vous avez atteint 3% des surfaces non productives et 4% des cultures dérobées et des plantes fixant l'azote</t>
  </si>
  <si>
    <t>o  Votre résultat en ce qui concerne les surfaces non productives</t>
  </si>
  <si>
    <t>o  Votre résultat en ce qui concerne les surfaces implantées de cultures dérobées et de fixatrices d'azote</t>
  </si>
  <si>
    <t>SANS DERO</t>
  </si>
  <si>
    <t>Condition c) Au moins 3 % des terres arables au niveau de l’exploitation agricole consacrées aux zones et éléments non productifs, y compris les terres mises en jachère, lorsque l’agriculteur s’engage à consacrer au moins 7 % de ses terres arables aux zones et éléments non productifs, y compris les terres mises en jachère, dans le cadre d’un éco-régime renforcé conformément à l’article 31, paragraphe 5 bis.</t>
  </si>
  <si>
    <t>Agriculteur engagé dans ER Maillage?</t>
  </si>
  <si>
    <t>SO</t>
  </si>
  <si>
    <t>Agriculteur bénéficie de réduction partie obligatoire BCAE 8 (3% au lieu de 7%)</t>
  </si>
  <si>
    <t>Résultats</t>
  </si>
  <si>
    <t>Votre résultat par rapport à l'exigence en matière de BCAE8 et l'accès à l'ER Maillage Ecologique SANS DEROGATIONS</t>
  </si>
  <si>
    <t>PENALITE</t>
  </si>
  <si>
    <t>CAMPAGNE 2023 - SIMULATEUR D'AIDE A LA DECISION
Simulateur ER Maillage</t>
  </si>
  <si>
    <t>CONDITION D'ENTREE</t>
  </si>
  <si>
    <t>Votre éligibilité</t>
  </si>
  <si>
    <t>Votre résultat BCAE8</t>
  </si>
  <si>
    <t>Activation de l'ER</t>
  </si>
  <si>
    <t>Votre réponse</t>
  </si>
  <si>
    <t>PARTIE 1 - RENSEIGNEMENTS CONCERNANT VOTRE EXPLOITATION</t>
  </si>
  <si>
    <t>(D) Superficie - Jachères dérogées</t>
  </si>
  <si>
    <t xml:space="preserve">PARTIE 2 - CALCUL DES HECTARES ENVIRONNEMENTALES </t>
  </si>
  <si>
    <t>Rubrique 2.1 Dispositifs en Terres Arables</t>
  </si>
  <si>
    <t>VALEUR corrigée</t>
  </si>
  <si>
    <t>Rubrique 2.2. Dispositifs en Prairies permanentes</t>
  </si>
  <si>
    <t>Rubrique 3.3. Dispositifs en cultures permanentes</t>
  </si>
  <si>
    <t>Rubrique 3.4. Calcul des Hectares environnementaux</t>
  </si>
  <si>
    <t>Rubrique B.1. Dispositifs en Terres Arables</t>
  </si>
  <si>
    <t>Rubrique B.2. Dispositifs en Prairies permanentes</t>
  </si>
  <si>
    <t>Rubrique B.3. Dispositifs en cultures permanentes</t>
  </si>
  <si>
    <t>coefficient HE</t>
  </si>
  <si>
    <t>HE</t>
  </si>
  <si>
    <t>(D) Nombre d'hectares environnementaux de l'exploitation</t>
  </si>
  <si>
    <t xml:space="preserve">PARTIE 4 CALCUL DE LA PRIME A PAYER </t>
  </si>
  <si>
    <t>Ratio d'impact</t>
  </si>
  <si>
    <t>Plafond à appliquer</t>
  </si>
  <si>
    <t>Max 40%</t>
  </si>
  <si>
    <t>(E) Hectares à payer</t>
  </si>
  <si>
    <t>(F) Montant unitaire</t>
  </si>
  <si>
    <t>(A) Total de l'exploitation</t>
  </si>
  <si>
    <t>(B) Prairie permanente, prairie à vocation à devenir permanente et vergers hautes tiges</t>
  </si>
  <si>
    <t>(C) Prairie temporaire, sainfoin, tréfle, lotier corniculé, luzerne, luzerne lupuline</t>
  </si>
  <si>
    <t>(D) Total des prairies pour le calcul du ratio</t>
  </si>
  <si>
    <t>Lotier corniculé (Lotus corniculatis) [57]</t>
  </si>
  <si>
    <t>(E) Superfcie NON couverte du 1/1/2023 au 15/2/2023</t>
  </si>
  <si>
    <t>(F) Superficie couverte du 1/1/2023 au 15/2/2023</t>
  </si>
  <si>
    <t>(G) Taux de couverture calculé</t>
  </si>
  <si>
    <t>Taux de couverture à atteindre pour chaque seuil d'aide :</t>
  </si>
  <si>
    <t>(H) Seuil d' entrée</t>
  </si>
  <si>
    <t>(I) Seuil intermédiaire</t>
  </si>
  <si>
    <t>(J) Seuil optimal</t>
  </si>
  <si>
    <t>supérieur</t>
  </si>
  <si>
    <t xml:space="preserve">PARTIE 2 -  CALCUL DE LA PRIME A PAYER </t>
  </si>
  <si>
    <t>intermédiaire</t>
  </si>
  <si>
    <t>(K) Seuil retenu</t>
  </si>
  <si>
    <t>entrée</t>
  </si>
  <si>
    <t>(L) Montant unitaire provisoire</t>
  </si>
  <si>
    <t>€/ha</t>
  </si>
  <si>
    <t xml:space="preserve">(M) Montant total provisoire </t>
  </si>
  <si>
    <t>TOTAL SURFACES POTENTIELLEMENTELIGIBLES A L'ECO-REGIME</t>
  </si>
  <si>
    <t>TOTAL SURFACES ACTIVEES</t>
  </si>
  <si>
    <t>A TOTAL SURFACES ELIGIBLES A L'ECO-REGIME</t>
  </si>
  <si>
    <t>B MONTANT UNITAIRE FIX</t>
  </si>
  <si>
    <t>MONTANT INDICATIF POUR LA PRIME ER CFE</t>
  </si>
  <si>
    <t>SURFACES FOURRAGERES</t>
  </si>
  <si>
    <t>B) UNITE DE GROS BETAIL (UGB)</t>
  </si>
  <si>
    <t>COMPOSANTE LIEE AUX PRAIRIES DE L'EXPLOITATION</t>
  </si>
  <si>
    <t>VOTRE CHARGE UGB/SF</t>
  </si>
  <si>
    <t>APPLICATION DU PRORATA</t>
  </si>
  <si>
    <t>texte</t>
  </si>
  <si>
    <t>TABLEAU A - VOTRE PRIME ER PP (SI PRORATA)</t>
  </si>
  <si>
    <t>VOTRE SURFACE EN PRAIRIE PERMANENTE</t>
  </si>
  <si>
    <t>PRORATA A APPLIQUER</t>
  </si>
  <si>
    <t>MONTANT UNITAIRE</t>
  </si>
  <si>
    <t>VOTRE RESULTAT (PRIME INDICATIVE ER PP - BASE)</t>
  </si>
  <si>
    <t>TABLEAU B - VOTRE PRIME ER PP (SANS PRORATA)</t>
  </si>
  <si>
    <t>UGB/HA</t>
  </si>
  <si>
    <t>VOTRE RESULTAT (PRIME INDICATIVE ER PP -BASE)</t>
  </si>
  <si>
    <t>TOTAL de base</t>
  </si>
  <si>
    <t>PARTIE 3 -  RUBRIQUE D - CALCUL DE L'ER PP</t>
  </si>
  <si>
    <t>COMPOSANTE LIEE A LA CHARGE EN BETAIL DE L'EXPLOITATION - ANNEE 2023</t>
  </si>
  <si>
    <t>VOTRE MONTANT  UNITAIRE SUITE A VOTRE CHARGE UGB / SF</t>
  </si>
  <si>
    <t>VOTRE RESULTAT (PRIME INDICATIVE ER PP - COMPLEMENTAIRE (2023)</t>
  </si>
  <si>
    <t>TOTAL ER BASE + COMPLEMENTAIRE</t>
  </si>
  <si>
    <t>Adhésion à la MAEC Autonomie Fourragère</t>
  </si>
  <si>
    <t>Texte</t>
  </si>
  <si>
    <t>debut</t>
  </si>
  <si>
    <t>FIN</t>
  </si>
  <si>
    <t>VALEUR</t>
  </si>
  <si>
    <t>LIBELLE</t>
  </si>
  <si>
    <t>UGB / SF</t>
  </si>
  <si>
    <t>C) VALEUR UNITAIRE</t>
  </si>
  <si>
    <t>D) HECTARES DE PRAIRIES PERMANENTES OU ASSIMILEES</t>
  </si>
  <si>
    <t>VOTRE UGB/SF</t>
  </si>
  <si>
    <t>VOTRE RESULTAT - PRIME INDICATIVE MAEC AUTONOMIE FOURRAGERE</t>
  </si>
  <si>
    <t>votre palier</t>
  </si>
  <si>
    <t>Le bénéficiaire engage une partie en céréales sur pied (MAEC)</t>
  </si>
  <si>
    <t>Le bénéficiaire s'engage t-il en ER CFE?</t>
  </si>
  <si>
    <t>TOTAL MAEC POTENTIELLESCEREALES SUR PIED</t>
  </si>
  <si>
    <t>TOTAL MAEC ENGAGES</t>
  </si>
  <si>
    <t>PLAFOND APPLIQUE (MAX 10 Ha)</t>
  </si>
  <si>
    <t>TOTAL HECTARES ELIGIBLES</t>
  </si>
  <si>
    <t>montant unitaire</t>
  </si>
  <si>
    <t>Montant de base</t>
  </si>
  <si>
    <t>Vérification plafond MAEC "cultures"</t>
  </si>
  <si>
    <t>Activation de la MAEC</t>
  </si>
  <si>
    <t>Total de vos tournières enherbées</t>
  </si>
  <si>
    <t>Total de vos surfaces céréales sur pied</t>
  </si>
  <si>
    <t>Total de vos surfaces Tournières et parcelles amenagées</t>
  </si>
  <si>
    <t>Total de vos MAEC en "Culture"</t>
  </si>
  <si>
    <t>Total de vos terres arables</t>
  </si>
  <si>
    <t>Application d'un plafond (max 25% de MAEC "Culture)</t>
  </si>
  <si>
    <t>Superficie non-respect du plafond</t>
  </si>
  <si>
    <t>Ratio non-respect du plafond</t>
  </si>
  <si>
    <t>Surface éligible après correction plafond</t>
  </si>
  <si>
    <t>Montant corrigé à payer</t>
  </si>
  <si>
    <t>Total de vos surfaces céréales sur pied (éligibles)</t>
  </si>
  <si>
    <t>Superficie en non-respect du plafond</t>
  </si>
  <si>
    <t>Montant de base à payer</t>
  </si>
  <si>
    <t>MODULE DE CALCUL</t>
  </si>
  <si>
    <t>VOS RESULTATS</t>
  </si>
  <si>
    <t>ENGAGEMENT ACTIF</t>
  </si>
  <si>
    <t>ENGAGEMENT A VENIR</t>
  </si>
  <si>
    <t>SURFACE DÉJÀ ACTIVE</t>
  </si>
  <si>
    <t>SURFACE A ACTIVER</t>
  </si>
  <si>
    <t>SURFACE EN NATURA 2000 - CONTRAINTES FORTES ET EN PHVB</t>
  </si>
  <si>
    <t xml:space="preserve">SURFACE UG04 EN NATURA 2000 </t>
  </si>
  <si>
    <t>SURFACE A PAYER</t>
  </si>
  <si>
    <t>MONTANT A PAYER AVANT LA REDUCTION NATURA 2000</t>
  </si>
  <si>
    <t>SURFACE A DEDUIRE (NATURA 2000)</t>
  </si>
  <si>
    <t>surfaces UG2 - ug 3 - ug t1 et ug t2 sont payées à 220 euros /ha</t>
  </si>
  <si>
    <t>MONTANT UNITAIRE à déduire  (470 - 250 --&gt; correction de -220€/ha)</t>
  </si>
  <si>
    <t>470 - 250 plutôt que 250 seul comme initialement mis?</t>
  </si>
  <si>
    <t>MONTANT A DEDUIRE (REDUCTION NATURA 2000)</t>
  </si>
  <si>
    <t>SURFACES NON PAYEES UG04</t>
  </si>
  <si>
    <t>les surfaces ug4 ne sont pas compatibles</t>
  </si>
  <si>
    <t>MONTANT UNITAIRE (à déduire par hectare)</t>
  </si>
  <si>
    <t>Montant à déduire UG04</t>
  </si>
  <si>
    <t>PLAFOND (100 euros)</t>
  </si>
  <si>
    <t>MONTANT TOTAL - PRAIRIES A HAUTE VALEUR BIOLOGIQUE</t>
  </si>
  <si>
    <t xml:space="preserve">resultat 1 </t>
  </si>
  <si>
    <t>res 2</t>
  </si>
  <si>
    <t>res 3</t>
  </si>
  <si>
    <t>surface en UG4</t>
  </si>
  <si>
    <t>Superficie de prairie admissible</t>
  </si>
  <si>
    <t>AM - Art 5 : Max 50% superficie éligible et 10 premiers ha exemptés de ce plafond</t>
  </si>
  <si>
    <t>Superficie retenue</t>
  </si>
  <si>
    <t>Plafonnement de la superficie de prairie admissible au déclaré</t>
  </si>
  <si>
    <t>Superficie retenue multipliée par le montant unitaire</t>
  </si>
  <si>
    <t>Montant déclaré</t>
  </si>
  <si>
    <t>Seuil de payement (100 €)</t>
  </si>
  <si>
    <t>-1 * Superficie en UG CF * Montant unitaire</t>
  </si>
  <si>
    <t xml:space="preserve">Déduction Natura </t>
  </si>
  <si>
    <t>Montant déclaré + Déduction Natura</t>
  </si>
  <si>
    <t>Montant Total - Prairies Naturelles</t>
  </si>
  <si>
    <t>Données</t>
  </si>
  <si>
    <t>Sur les superficies</t>
  </si>
  <si>
    <t>Vous avez encodé une superficie admissible aux aides (prairies 62 &amp; 623 inclues) de :</t>
  </si>
  <si>
    <t>MAEC "Sols"</t>
  </si>
  <si>
    <t xml:space="preserve">Souhaitez-vous un engagement dans le cadre de la prime MAEC "Sol" ? </t>
  </si>
  <si>
    <t>Avez-vous activé l'ER "Couverture Longue de Sol"? Pour la première année d'engagement?</t>
  </si>
  <si>
    <t>Quelle est la surface totale de votre exploitation soumise à la BCAE 5 ?</t>
  </si>
  <si>
    <t>Surface éligible initialement estimée en situation favorable</t>
  </si>
  <si>
    <t>Pour connaitre les valeurs limites des différentes situations, se référer au tableau suivant.
Il est possible d'obtenir une estimation de la teneur en carbone de votre parcelle via la géoportail.
Pour visualiser les données sur le Géoportail, il faut aller sur WalOnMap (https://geoportail.wallonie.be/walonmap), ajouter les données suivantes du Catalogue du Géoportail reprises sous la rubrique « Nature et Environnement », et la sous-rubrique « Sol et sous-sol » :
la couche de donnés « Parcellaire agricole anonyme (situation 2021) » (pour pouvoir se situer plus facilement par rapport au parcellaire le plus récent) ;
la couche de données « CARBIOSOL - Carbone organique total des Sols – Série » (pour avoir une idée de la teneur en carbone organique totale d’une parcelle) ;
et la couche de données « Textures et fractions granulométriques de référence des sols de Wallonie - Série » (pour avoir une idée de la teneur en argile d’une parcelle).
Une vue intégrant déjà ces trois couches de données est accessible en accès direct via : https://geoportail.wallonie.be/walonmap#SHARE=F25E76DDFBDFDC76E053D5AFA49D5673
Quand vous êtes sur cette vue, il s’agit de d’abord entrer l’adresse de la parcelle pour visualiser la parcelle à la bonne échelle. Ensuite, il faut cliquer sur le bouton « Info » , avant de cliquer sur l’endroit pour lequel vous souhaitez avoir les données COT et argile. Après avoir cliqué sur l’endroit choisi, une petite fenêtre apparaît sur la droite avec toutes les informations utiles.
Pour le COT, la teneur est issue des données CARBIOSOL (en particulier de la série « Teneurs prédites en Carbone organique total (gC/Kg) - période : 2015 - 2019 » à une résolution de 90 x 90 m) ; attention de diviser par 10 la teneur de la carte (exprimée en gC/kg) pour avoir le pourcentage de COT, car c’est le pourcentage qui est utilisé au numérateur de l’indicateur de résultat (ex. : 15 g/C/kg = 1,5% de COT)
et pour l’argile, la teneur est issue des données de texture et fractions granulométriques (en particulier de la série « Argile (moyenne) » au sein de « Texture et Granulométries - Surface » à une résolution de 50 x 50 m) ; attention d’exprimer la fraction d’argile renseignée en pourcent et donc de multiplier par 100 la valeur renseignée par la carte (ex : 0,1 devient 10% d’argile)
L’indicateur de résultat utilisé dans la MAEC sol correspond donc au pourcentage de COT divisé par le pourcentage d’argile, le tout multiplié par 100 (dans notre exemple : 1,5% COT divisé par 10% d’argile, ce qui fait 0,15 à multiplier par 100 et donc un indicateur de 15%, ce qui correspond à une situation de transition puisque le sol est de type léger du fait d’une teneur en argile inférieure à 12%).</t>
  </si>
  <si>
    <t>Surface éligible initialement estimée en situation de transition</t>
  </si>
  <si>
    <t>Surface éligible initialement estimée en situation défavorable</t>
  </si>
  <si>
    <t>Calculs</t>
  </si>
  <si>
    <t>Montant annuel perçu au cours des 4 premières années</t>
  </si>
  <si>
    <t>Montant évalué en émettant l'hypothèse que la surface engagée reste la même sur ces 4 premières années et que chaque parcelle reste éligible au cours de cette période.</t>
  </si>
  <si>
    <t>Facteur lié à l'engagement de l'exploitation dans l'éco-régime "couverture des sols"</t>
  </si>
  <si>
    <t>Facteur lié au taux de surface en culture dans l'exploitation</t>
  </si>
  <si>
    <t>Facteur lié au taux d'engagement de la surface de l'exploitation dans la MAEC sol par rapport à la surface totale éligible</t>
  </si>
  <si>
    <t>Forfait sol par année</t>
  </si>
  <si>
    <t>Montant annuel calculé</t>
  </si>
  <si>
    <t>Montant final perçu au cours de la dernière année</t>
  </si>
  <si>
    <t>Évolution de la surface évaluée en situation favorable entre l'année initiale et l'année finale</t>
  </si>
  <si>
    <t>Évolution de la surface évaluée en situation de transition entre l'année initiale et l'année finale</t>
  </si>
  <si>
    <t>Évolution de la surface évaluée en situation défavorable entre l'année initiale et l'année finale</t>
  </si>
  <si>
    <t>Facteur lié à l'évolution des surfaces favorables</t>
  </si>
  <si>
    <t>Facteur lié à l'évolution des surfaces défavorables</t>
  </si>
  <si>
    <t>Facteur lié à l'activation de l'écorégime "Couverture longue des sols" sur l'ensemble de la période en vue de débloquer le bonus.</t>
  </si>
  <si>
    <t>Montant de base final calculé</t>
  </si>
  <si>
    <t>Part du bonus lié à l'évolution des surfaces favorables</t>
  </si>
  <si>
    <t>Part du bonus lié à l'évolution des surfaces en transition</t>
  </si>
  <si>
    <t>Calcul du bonus lié à l'évolution de la qualité des sols</t>
  </si>
  <si>
    <t>Vos résultats</t>
  </si>
  <si>
    <t>Module de calcul</t>
  </si>
  <si>
    <t xml:space="preserve">
   </t>
  </si>
  <si>
    <t>Activation de la mesure</t>
  </si>
  <si>
    <t>Montant Ovin</t>
  </si>
  <si>
    <t>Nombre de vaches maec race locale menacée</t>
  </si>
  <si>
    <t>Nombre d'équidés éligibles</t>
  </si>
  <si>
    <t>Nombre de vaches et chevaux (somme)</t>
  </si>
  <si>
    <t>Montant Unitaire aide Chevaux et Bovins</t>
  </si>
  <si>
    <t>Contrôle</t>
  </si>
  <si>
    <t>Actif?</t>
  </si>
  <si>
    <t>Quelles aides ?</t>
  </si>
  <si>
    <t>Le plan d’action est rémunéré de deux manières complémentaires :</t>
  </si>
  <si>
    <t>D’une part sous la forme d’une somme de 20 € par hectare, plafonnée à 50 hectares, soit 1.000 €, destinée à reconnaître la démarche et le temps passé par l’agriculteur avec l’expert pour établir et revoir annuellement les actions à court, moyen et long terme prévues dans le plan.</t>
  </si>
  <si>
    <t>CALCUL DE LA COMPOSANTE X</t>
  </si>
  <si>
    <t>D’autre part, sous la forme d’une majoration de 5 % des montants d’aides touchés pour les autres mesures environnementales adoptées dans l’exploitation, soit les MAEC, le soutien au bio et les éco-régimes.</t>
  </si>
  <si>
    <t>Surface à payer</t>
  </si>
  <si>
    <r>
      <t xml:space="preserve">Cela donne la formule suivante : </t>
    </r>
    <r>
      <rPr>
        <b/>
        <sz val="11"/>
        <color theme="1"/>
        <rFont val="Calibri"/>
        <family val="2"/>
        <scheme val="minor"/>
      </rPr>
      <t>20 * X + 0.05 * Y</t>
    </r>
  </si>
  <si>
    <t>Montant unitaire composante X</t>
  </si>
  <si>
    <t>Dans laquelle :</t>
  </si>
  <si>
    <t>Total composante X</t>
  </si>
  <si>
    <r>
      <t xml:space="preserve">X = </t>
    </r>
    <r>
      <rPr>
        <sz val="11"/>
        <color theme="1"/>
        <rFont val="Calibri"/>
        <family val="2"/>
        <scheme val="minor"/>
      </rPr>
      <t>nombre d‘hectares de surface agricole de l’exploitation, plafonné à 50 hectares</t>
    </r>
  </si>
  <si>
    <r>
      <t>Y =</t>
    </r>
    <r>
      <rPr>
        <sz val="11"/>
        <color theme="1"/>
        <rFont val="Calibri"/>
        <family val="2"/>
        <scheme val="minor"/>
      </rPr>
      <t xml:space="preserve"> montant total cumulé des aides perçues pour les différentes mesures environnementales volontaires appliquées</t>
    </r>
  </si>
  <si>
    <t>CALCUL DE LA COMPOSANTE Y</t>
  </si>
  <si>
    <t>Montants</t>
  </si>
  <si>
    <t>TOTAL Y (pour le 5% en plus)</t>
  </si>
  <si>
    <t>majoration</t>
  </si>
  <si>
    <t>Plafond de surface</t>
  </si>
  <si>
    <t>Montant engagements (hors MB1)</t>
  </si>
  <si>
    <t>Majoration 5% du montant</t>
  </si>
  <si>
    <t>Composante Y = Montant total majorée</t>
  </si>
  <si>
    <t>AGRICOLE</t>
  </si>
  <si>
    <t>SURFACE ELIGIBLE A L'INDEMNITE NATURA 2000</t>
  </si>
  <si>
    <t>SURFACES ELIGIBLES EN PRAIRIES</t>
  </si>
  <si>
    <t>MONTANT UNITAIRE PRAIRIES A CONTRAINTES FORTES</t>
  </si>
  <si>
    <t>montant indemnité en prairie</t>
  </si>
  <si>
    <t>SURFACES ELIGIBLES EN BANDES EXTENSIVES</t>
  </si>
  <si>
    <t>MONTANT UNITAIRE EN BANDES EXTENSIVES</t>
  </si>
  <si>
    <t>montant indemnité en bande</t>
  </si>
  <si>
    <t>Respect plafond &gt;100€</t>
  </si>
  <si>
    <t>MONTANT INDEMNITE NATURA 2000</t>
  </si>
  <si>
    <t>CONDITION SURFACE GROUPE 5 (SURFACE &lt; ou = 3HA)</t>
  </si>
  <si>
    <t>CONDITION SAU &lt; ou = 10HA</t>
  </si>
  <si>
    <r>
      <t xml:space="preserve">CONDITION SURFACE GROUPE 5 (SURFACE </t>
    </r>
    <r>
      <rPr>
        <sz val="11"/>
        <color theme="1"/>
        <rFont val="Calibri"/>
        <family val="2"/>
      </rPr>
      <t>≤</t>
    </r>
    <r>
      <rPr>
        <sz val="11"/>
        <color theme="1"/>
        <rFont val="Calibri"/>
        <family val="2"/>
        <scheme val="minor"/>
      </rPr>
      <t xml:space="preserve"> 3HA)</t>
    </r>
  </si>
  <si>
    <t>corrigé mail laurent 23/02/23</t>
  </si>
  <si>
    <t>vérification droits</t>
  </si>
  <si>
    <t>Vérification des droits</t>
  </si>
  <si>
    <t>Récapitulatif de vos droits</t>
  </si>
  <si>
    <t>Attention, vous devez avoir au moins une fraction d'un droit pour accèder à l'ER</t>
  </si>
  <si>
    <t>Selon les droits encodées</t>
  </si>
  <si>
    <t>Eligibilité (1 = éligible, 0 = non éligible)</t>
  </si>
  <si>
    <t>Eligibilité (droits)</t>
  </si>
  <si>
    <t>Eligibilité (droits; 1=eligible; 0=non-éligible)</t>
  </si>
  <si>
    <t>Avez-vous des droits (1=éligible ; 0=non-éligible)</t>
  </si>
  <si>
    <t>prairies prorata (pour info)</t>
  </si>
  <si>
    <t>Sur base des droits encodés, êtes vous éligible à l'aide (1=éligible ; 0=non-éligible)</t>
  </si>
  <si>
    <t>0478873970</t>
  </si>
  <si>
    <t>Version 11 du</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</si>
</sst>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7">
    <numFmt numFmtId="6" formatCode="#,##0\ &quot;€&quot;;[Red]\-#,##0\ &quot;€&quot;"/>
    <numFmt numFmtId="7" formatCode="#,##0.00\ &quot;€&quot;;\-#,##0.00\ &quot;€&quot;"/>
    <numFmt numFmtId="44" formatCode="_-* #,##0.00\ &quot;€&quot;_-;\-* #,##0.00\ &quot;€&quot;_-;_-* &quot;-&quot;??\ &quot;€&quot;_-;_-@_-"/>
    <numFmt numFmtId="43" formatCode="_-* #,##0.00_-;\-* #,##0.00_-;_-* &quot;-&quot;??_-;_-@_-"/>
    <numFmt numFmtId="164" formatCode="0.00\ &quot;ha&quot;"/>
    <numFmt numFmtId="165" formatCode="0.000"/>
    <numFmt numFmtId="166" formatCode="0.0000"/>
    <numFmt numFmtId="167" formatCode="_-* #,##0.00\ [$€-80C]_-;\-* #,##0.00\ [$€-80C]_-;_-* &quot;-&quot;??\ [$€-80C]_-;_-@_-"/>
    <numFmt numFmtId="168" formatCode="_-* #,##0.00\ [$€-40C]_-;\-* #,##0.00\ [$€-40C]_-;_-* &quot;-&quot;??\ [$€-40C]_-;_-@_-"/>
    <numFmt numFmtId="169" formatCode="0.0"/>
    <numFmt numFmtId="170" formatCode="0.0%"/>
    <numFmt numFmtId="171" formatCode="0\ &quot;PP&quot;"/>
    <numFmt numFmtId="172" formatCode="#,##0.00\ &quot;€&quot;"/>
    <numFmt numFmtId="173" formatCode="#,##0.00\ [$€-40C];\-#,##0.00\ [$€-40C]"/>
    <numFmt numFmtId="174" formatCode="0.00\ &quot;UGB&quot;"/>
    <numFmt numFmtId="175" formatCode="0.00\ &quot;UGB/SF&quot;"/>
    <numFmt numFmtId="176" formatCode="0.00\ &quot;DPB&quot;"/>
  </numFmts>
  <fonts count="94" x14ac:knownFonts="1">
    <font>
      <sz val="11"/>
      <color theme="1"/>
      <name val="Calibri"/>
      <family val="2"/>
      <scheme val="minor"/>
    </font>
    <font>
      <sz val="11"/>
      <color theme="1"/>
      <name val="Calibri"/>
      <family val="2"/>
      <scheme val="minor"/>
    </font>
    <font>
      <b/>
      <sz val="11"/>
      <color theme="1"/>
      <name val="Calibri"/>
      <family val="2"/>
      <scheme val="minor"/>
    </font>
    <font>
      <sz val="14"/>
      <name val="Calibri"/>
      <family val="2"/>
      <scheme val="minor"/>
    </font>
    <font>
      <sz val="10"/>
      <color theme="1"/>
      <name val="Century Gothic"/>
      <family val="2"/>
    </font>
    <font>
      <sz val="10"/>
      <color rgb="FF000000"/>
      <name val="Century Gothic"/>
      <family val="2"/>
    </font>
    <font>
      <sz val="11"/>
      <color rgb="FF000000"/>
      <name val="Calibri"/>
      <family val="2"/>
      <scheme val="minor"/>
    </font>
    <font>
      <sz val="8"/>
      <name val="Calibri"/>
      <family val="2"/>
      <scheme val="minor"/>
    </font>
    <font>
      <sz val="9"/>
      <color indexed="81"/>
      <name val="Tahoma"/>
      <family val="2"/>
    </font>
    <font>
      <b/>
      <sz val="9"/>
      <color indexed="81"/>
      <name val="Tahoma"/>
      <family val="2"/>
    </font>
    <font>
      <b/>
      <u/>
      <sz val="11"/>
      <color theme="1"/>
      <name val="Calibri"/>
      <family val="2"/>
      <scheme val="minor"/>
    </font>
    <font>
      <b/>
      <sz val="12"/>
      <color theme="1"/>
      <name val="Calibri"/>
      <family val="2"/>
      <scheme val="minor"/>
    </font>
    <font>
      <b/>
      <sz val="14"/>
      <name val="Calibri"/>
      <family val="2"/>
      <scheme val="minor"/>
    </font>
    <font>
      <sz val="11"/>
      <color theme="0"/>
      <name val="Calibri"/>
      <family val="2"/>
      <scheme val="minor"/>
    </font>
    <font>
      <sz val="12"/>
      <color theme="1"/>
      <name val="Calibri"/>
      <family val="2"/>
      <scheme val="minor"/>
    </font>
    <font>
      <sz val="11"/>
      <color rgb="FF444444"/>
      <name val="Calibri"/>
      <family val="2"/>
    </font>
    <font>
      <i/>
      <u/>
      <sz val="11"/>
      <color theme="1"/>
      <name val="Calibri"/>
      <family val="2"/>
      <scheme val="minor"/>
    </font>
    <font>
      <b/>
      <sz val="11"/>
      <color theme="0"/>
      <name val="Calibri"/>
      <family val="2"/>
      <scheme val="minor"/>
    </font>
    <font>
      <b/>
      <u/>
      <sz val="11"/>
      <color rgb="FFFF0000"/>
      <name val="Calibri"/>
      <family val="2"/>
      <scheme val="minor"/>
    </font>
    <font>
      <sz val="14"/>
      <color theme="1"/>
      <name val="Calibri"/>
      <family val="2"/>
      <scheme val="minor"/>
    </font>
    <font>
      <sz val="11"/>
      <color rgb="FFFF0000"/>
      <name val="Calibri"/>
      <family val="2"/>
      <scheme val="minor"/>
    </font>
    <font>
      <i/>
      <sz val="11"/>
      <color theme="1"/>
      <name val="Calibri"/>
      <family val="2"/>
      <scheme val="minor"/>
    </font>
    <font>
      <i/>
      <sz val="11"/>
      <color theme="0"/>
      <name val="Calibri"/>
      <family val="2"/>
      <scheme val="minor"/>
    </font>
    <font>
      <i/>
      <sz val="10"/>
      <color theme="1"/>
      <name val="Calibri"/>
      <family val="2"/>
      <scheme val="minor"/>
    </font>
    <font>
      <i/>
      <sz val="11"/>
      <color rgb="FFFF0000"/>
      <name val="Calibri"/>
      <family val="2"/>
      <scheme val="minor"/>
    </font>
    <font>
      <i/>
      <sz val="10"/>
      <color rgb="FFFF0000"/>
      <name val="Calibri"/>
      <family val="2"/>
      <scheme val="minor"/>
    </font>
    <font>
      <b/>
      <sz val="11"/>
      <color rgb="FFFF0000"/>
      <name val="Calibri"/>
      <family val="2"/>
      <scheme val="minor"/>
    </font>
    <font>
      <b/>
      <sz val="14"/>
      <color theme="1"/>
      <name val="Calibri"/>
      <family val="2"/>
      <scheme val="minor"/>
    </font>
    <font>
      <b/>
      <u/>
      <sz val="11"/>
      <color rgb="FF000000"/>
      <name val="Calibri"/>
      <family val="2"/>
      <scheme val="minor"/>
    </font>
    <font>
      <b/>
      <sz val="12"/>
      <color rgb="FFFF0000"/>
      <name val="Calibri"/>
      <family val="2"/>
      <scheme val="minor"/>
    </font>
    <font>
      <sz val="13"/>
      <color theme="1"/>
      <name val="Calibri"/>
      <family val="2"/>
      <scheme val="minor"/>
    </font>
    <font>
      <b/>
      <sz val="13"/>
      <color rgb="FFFF0000"/>
      <name val="Calibri"/>
      <family val="2"/>
      <scheme val="minor"/>
    </font>
    <font>
      <sz val="13"/>
      <color rgb="FFFF0000"/>
      <name val="Calibri"/>
      <family val="2"/>
      <scheme val="minor"/>
    </font>
    <font>
      <sz val="11"/>
      <color theme="0" tint="-0.34998626667073579"/>
      <name val="Calibri"/>
      <family val="2"/>
      <scheme val="minor"/>
    </font>
    <font>
      <b/>
      <sz val="16"/>
      <name val="Calibri"/>
      <family val="2"/>
      <scheme val="minor"/>
    </font>
    <font>
      <b/>
      <u/>
      <sz val="12"/>
      <color rgb="FFFF0000"/>
      <name val="Calibri"/>
      <family val="2"/>
      <scheme val="minor"/>
    </font>
    <font>
      <i/>
      <sz val="12"/>
      <color theme="0"/>
      <name val="Calibri"/>
      <family val="2"/>
      <scheme val="minor"/>
    </font>
    <font>
      <sz val="11"/>
      <color indexed="8"/>
      <name val="Calibri"/>
      <family val="2"/>
    </font>
    <font>
      <sz val="11"/>
      <color indexed="8"/>
      <name val="Calibri"/>
      <family val="2"/>
      <scheme val="minor"/>
    </font>
    <font>
      <sz val="11"/>
      <name val="Calibri"/>
      <family val="2"/>
      <scheme val="minor"/>
    </font>
    <font>
      <i/>
      <u/>
      <sz val="11"/>
      <color theme="1" tint="0.499984740745262"/>
      <name val="Calibri"/>
      <family val="2"/>
      <scheme val="minor"/>
    </font>
    <font>
      <i/>
      <sz val="11"/>
      <color theme="1" tint="0.499984740745262"/>
      <name val="Calibri"/>
      <family val="2"/>
      <scheme val="minor"/>
    </font>
    <font>
      <sz val="10"/>
      <color theme="1"/>
      <name val="Calibri"/>
      <family val="2"/>
      <scheme val="minor"/>
    </font>
    <font>
      <b/>
      <sz val="11"/>
      <name val="Calibri"/>
      <family val="2"/>
      <scheme val="minor"/>
    </font>
    <font>
      <b/>
      <i/>
      <sz val="11"/>
      <color rgb="FFFF0000"/>
      <name val="Calibri"/>
      <family val="2"/>
      <scheme val="minor"/>
    </font>
    <font>
      <b/>
      <sz val="11"/>
      <color rgb="FFC00000"/>
      <name val="Calibri"/>
      <family val="2"/>
      <scheme val="minor"/>
    </font>
    <font>
      <u/>
      <sz val="11"/>
      <color theme="1"/>
      <name val="Calibri"/>
      <family val="2"/>
      <scheme val="minor"/>
    </font>
    <font>
      <b/>
      <i/>
      <sz val="10"/>
      <color theme="1"/>
      <name val="Calibri"/>
      <family val="2"/>
      <scheme val="minor"/>
    </font>
    <font>
      <b/>
      <sz val="13"/>
      <color theme="1"/>
      <name val="Calibri"/>
      <family val="2"/>
      <scheme val="minor"/>
    </font>
    <font>
      <b/>
      <i/>
      <sz val="10"/>
      <color rgb="FFFF0000"/>
      <name val="Calibri"/>
      <family val="2"/>
      <scheme val="minor"/>
    </font>
    <font>
      <sz val="11"/>
      <color rgb="FFFF6582"/>
      <name val="Calibri"/>
      <family val="2"/>
      <scheme val="minor"/>
    </font>
    <font>
      <b/>
      <sz val="16"/>
      <color theme="0"/>
      <name val="Calibri"/>
      <family val="2"/>
      <scheme val="minor"/>
    </font>
    <font>
      <sz val="11"/>
      <color theme="1" tint="0.499984740745262"/>
      <name val="Calibri"/>
      <family val="2"/>
      <scheme val="minor"/>
    </font>
    <font>
      <b/>
      <sz val="10"/>
      <color theme="1"/>
      <name val="Calibri"/>
      <family val="2"/>
      <scheme val="minor"/>
    </font>
    <font>
      <sz val="10"/>
      <color rgb="FFFF0000"/>
      <name val="Calibri"/>
      <family val="2"/>
      <scheme val="minor"/>
    </font>
    <font>
      <i/>
      <sz val="10"/>
      <color theme="0"/>
      <name val="Calibri"/>
      <family val="2"/>
      <scheme val="minor"/>
    </font>
    <font>
      <b/>
      <sz val="9"/>
      <color theme="1"/>
      <name val="Calibri"/>
      <family val="2"/>
      <scheme val="minor"/>
    </font>
    <font>
      <sz val="8"/>
      <color theme="1"/>
      <name val="Calibri"/>
      <family val="2"/>
      <scheme val="minor"/>
    </font>
    <font>
      <b/>
      <i/>
      <sz val="9"/>
      <color theme="1"/>
      <name val="Calibri"/>
      <family val="2"/>
      <scheme val="minor"/>
    </font>
    <font>
      <i/>
      <sz val="8"/>
      <color theme="1"/>
      <name val="Calibri"/>
      <family val="2"/>
      <scheme val="minor"/>
    </font>
    <font>
      <i/>
      <sz val="12"/>
      <color theme="1"/>
      <name val="Calibri"/>
      <family val="2"/>
      <scheme val="minor"/>
    </font>
    <font>
      <sz val="9"/>
      <color theme="1"/>
      <name val="Calibri"/>
      <family val="2"/>
      <scheme val="minor"/>
    </font>
    <font>
      <b/>
      <i/>
      <sz val="12"/>
      <color rgb="FFFF0000"/>
      <name val="Calibri"/>
      <family val="2"/>
      <scheme val="minor"/>
    </font>
    <font>
      <strike/>
      <sz val="11"/>
      <color theme="1"/>
      <name val="Calibri"/>
      <family val="2"/>
      <scheme val="minor"/>
    </font>
    <font>
      <u/>
      <sz val="11"/>
      <color theme="10"/>
      <name val="Calibri"/>
      <family val="2"/>
      <scheme val="minor"/>
    </font>
    <font>
      <i/>
      <sz val="12"/>
      <color rgb="FFFF0000"/>
      <name val="Calibri"/>
      <family val="2"/>
      <scheme val="minor"/>
    </font>
    <font>
      <sz val="10"/>
      <color rgb="FFFF0000"/>
      <name val="Century Gothic"/>
      <family val="2"/>
    </font>
    <font>
      <b/>
      <sz val="10"/>
      <color theme="0"/>
      <name val="Century Gothic"/>
      <family val="2"/>
    </font>
    <font>
      <i/>
      <sz val="10"/>
      <name val="Calibri"/>
      <family val="2"/>
      <scheme val="minor"/>
    </font>
    <font>
      <b/>
      <sz val="18"/>
      <color rgb="FFEEF2EF"/>
      <name val="Calibri"/>
      <family val="2"/>
      <scheme val="minor"/>
    </font>
    <font>
      <b/>
      <sz val="18"/>
      <color theme="1"/>
      <name val="Calibri"/>
      <family val="2"/>
      <scheme val="minor"/>
    </font>
    <font>
      <sz val="11"/>
      <color rgb="FF000000"/>
      <name val="Calibri"/>
      <family val="2"/>
    </font>
    <font>
      <u/>
      <sz val="11"/>
      <color rgb="FF000000"/>
      <name val="Calibri"/>
      <family val="2"/>
    </font>
    <font>
      <b/>
      <sz val="14"/>
      <color theme="0"/>
      <name val="Calibri"/>
      <family val="2"/>
      <scheme val="minor"/>
    </font>
    <font>
      <sz val="11"/>
      <color rgb="FF00B050"/>
      <name val="Calibri"/>
      <family val="2"/>
      <scheme val="minor"/>
    </font>
    <font>
      <i/>
      <sz val="10"/>
      <color rgb="FF000000"/>
      <name val="Calibri"/>
      <family val="2"/>
    </font>
    <font>
      <i/>
      <sz val="10"/>
      <color rgb="FFFF0000"/>
      <name val="Calibri"/>
      <family val="2"/>
    </font>
    <font>
      <i/>
      <sz val="10"/>
      <color theme="1"/>
      <name val="Calibri"/>
      <family val="2"/>
    </font>
    <font>
      <sz val="9"/>
      <color rgb="FF231F20"/>
      <name val="Calibri"/>
      <family val="2"/>
      <scheme val="minor"/>
    </font>
    <font>
      <sz val="9"/>
      <color indexed="8"/>
      <name val="Calibri"/>
      <family val="2"/>
      <scheme val="minor"/>
    </font>
    <font>
      <sz val="9"/>
      <name val="Calibri"/>
      <family val="2"/>
      <scheme val="minor"/>
    </font>
    <font>
      <b/>
      <sz val="13.5"/>
      <color theme="1"/>
      <name val="Calibri"/>
      <family val="2"/>
      <scheme val="minor"/>
    </font>
    <font>
      <b/>
      <u/>
      <sz val="11"/>
      <color theme="0"/>
      <name val="Calibri"/>
      <family val="2"/>
      <scheme val="minor"/>
    </font>
    <font>
      <i/>
      <sz val="16"/>
      <color theme="1"/>
      <name val="Calibri"/>
      <family val="2"/>
      <scheme val="minor"/>
    </font>
    <font>
      <b/>
      <i/>
      <sz val="14"/>
      <name val="Calibri"/>
      <family val="2"/>
      <scheme val="minor"/>
    </font>
    <font>
      <b/>
      <sz val="11"/>
      <color theme="0" tint="-4.9989318521683403E-2"/>
      <name val="Calibri"/>
      <family val="2"/>
      <scheme val="minor"/>
    </font>
    <font>
      <b/>
      <u/>
      <sz val="10"/>
      <color theme="1"/>
      <name val="Calibri"/>
      <family val="2"/>
      <scheme val="minor"/>
    </font>
    <font>
      <b/>
      <sz val="11"/>
      <color theme="0" tint="-0.34998626667073579"/>
      <name val="Calibri"/>
      <family val="2"/>
      <scheme val="minor"/>
    </font>
    <font>
      <b/>
      <u/>
      <sz val="11"/>
      <color theme="0" tint="-0.34998626667073579"/>
      <name val="Calibri"/>
      <family val="2"/>
      <scheme val="minor"/>
    </font>
    <font>
      <b/>
      <u/>
      <sz val="16"/>
      <color rgb="FFFF0000"/>
      <name val="Calibri"/>
      <family val="2"/>
      <scheme val="minor"/>
    </font>
    <font>
      <b/>
      <sz val="18"/>
      <color theme="0"/>
      <name val="Calibri"/>
      <family val="2"/>
      <scheme val="minor"/>
    </font>
    <font>
      <sz val="11"/>
      <color theme="1" tint="4.9989318521683403E-2"/>
      <name val="Calibri"/>
      <family val="2"/>
      <scheme val="minor"/>
    </font>
    <font>
      <sz val="11"/>
      <color theme="3"/>
      <name val="Calibri"/>
      <family val="2"/>
      <scheme val="minor"/>
    </font>
    <font>
      <sz val="11"/>
      <color theme="1"/>
      <name val="Calibri"/>
      <family val="2"/>
    </font>
  </fonts>
  <fills count="63">
    <fill>
      <patternFill patternType="none"/>
    </fill>
    <fill>
      <patternFill patternType="gray125"/>
    </fill>
    <fill>
      <patternFill patternType="solid">
        <fgColor theme="2" tint="-0.249977111117893"/>
        <bgColor indexed="64"/>
      </patternFill>
    </fill>
    <fill>
      <patternFill patternType="solid">
        <fgColor rgb="FFFFFF00"/>
        <bgColor indexed="64"/>
      </patternFill>
    </fill>
    <fill>
      <patternFill patternType="solid">
        <fgColor theme="8"/>
        <bgColor indexed="64"/>
      </patternFill>
    </fill>
    <fill>
      <patternFill patternType="solid">
        <fgColor theme="9" tint="0.59999389629810485"/>
        <bgColor indexed="64"/>
      </patternFill>
    </fill>
    <fill>
      <patternFill patternType="solid">
        <fgColor theme="9" tint="0.79998168889431442"/>
        <bgColor indexed="64"/>
      </patternFill>
    </fill>
    <fill>
      <patternFill patternType="solid">
        <fgColor rgb="FFEBEEDC"/>
        <bgColor indexed="64"/>
      </patternFill>
    </fill>
    <fill>
      <patternFill patternType="solid">
        <fgColor theme="6" tint="0.79998168889431442"/>
        <bgColor indexed="64"/>
      </patternFill>
    </fill>
    <fill>
      <patternFill patternType="solid">
        <fgColor theme="2"/>
        <bgColor indexed="64"/>
      </patternFill>
    </fill>
    <fill>
      <patternFill patternType="solid">
        <fgColor rgb="FFFF99FF"/>
        <bgColor indexed="64"/>
      </patternFill>
    </fill>
    <fill>
      <patternFill patternType="solid">
        <fgColor rgb="FFD9E2F1"/>
        <bgColor indexed="64"/>
      </patternFill>
    </fill>
    <fill>
      <patternFill patternType="solid">
        <fgColor rgb="FFDCCDAE"/>
        <bgColor indexed="64"/>
      </patternFill>
    </fill>
    <fill>
      <patternFill patternType="solid">
        <fgColor theme="2" tint="-9.9978637043366805E-2"/>
        <bgColor indexed="64"/>
      </patternFill>
    </fill>
    <fill>
      <patternFill patternType="solid">
        <fgColor theme="7" tint="0.79998168889431442"/>
        <bgColor indexed="64"/>
      </patternFill>
    </fill>
    <fill>
      <patternFill patternType="solid">
        <fgColor theme="7" tint="0.59999389629810485"/>
        <bgColor indexed="64"/>
      </patternFill>
    </fill>
    <fill>
      <patternFill patternType="solid">
        <fgColor theme="1" tint="0.249977111117893"/>
        <bgColor indexed="64"/>
      </patternFill>
    </fill>
    <fill>
      <patternFill patternType="solid">
        <fgColor rgb="FFF4D6F2"/>
        <bgColor indexed="64"/>
      </patternFill>
    </fill>
    <fill>
      <patternFill patternType="solid">
        <fgColor theme="4" tint="0.79998168889431442"/>
        <bgColor indexed="64"/>
      </patternFill>
    </fill>
    <fill>
      <patternFill patternType="solid">
        <fgColor theme="9" tint="0.39997558519241921"/>
        <bgColor indexed="64"/>
      </patternFill>
    </fill>
    <fill>
      <patternFill patternType="solid">
        <fgColor rgb="FFFF0000"/>
        <bgColor indexed="64"/>
      </patternFill>
    </fill>
    <fill>
      <patternFill patternType="solid">
        <fgColor theme="4" tint="0.39997558519241921"/>
        <bgColor indexed="64"/>
      </patternFill>
    </fill>
    <fill>
      <patternFill patternType="solid">
        <fgColor theme="0"/>
        <bgColor indexed="64"/>
      </patternFill>
    </fill>
    <fill>
      <patternFill patternType="solid">
        <fgColor theme="7" tint="0.39997558519241921"/>
        <bgColor indexed="64"/>
      </patternFill>
    </fill>
    <fill>
      <patternFill patternType="solid">
        <fgColor theme="5" tint="0.59999389629810485"/>
        <bgColor indexed="64"/>
      </patternFill>
    </fill>
    <fill>
      <patternFill patternType="solid">
        <fgColor theme="6" tint="0.39997558519241921"/>
        <bgColor indexed="64"/>
      </patternFill>
    </fill>
    <fill>
      <patternFill patternType="solid">
        <fgColor theme="4" tint="0.59999389629810485"/>
        <bgColor indexed="64"/>
      </patternFill>
    </fill>
    <fill>
      <patternFill patternType="solid">
        <fgColor theme="5" tint="0.39997558519241921"/>
        <bgColor indexed="64"/>
      </patternFill>
    </fill>
    <fill>
      <patternFill patternType="solid">
        <fgColor rgb="FFEEF2EF"/>
        <bgColor indexed="64"/>
      </patternFill>
    </fill>
    <fill>
      <patternFill patternType="solid">
        <fgColor rgb="FFC00000"/>
        <bgColor indexed="64"/>
      </patternFill>
    </fill>
    <fill>
      <patternFill patternType="solid">
        <fgColor theme="5" tint="0.79998168889431442"/>
        <bgColor indexed="64"/>
      </patternFill>
    </fill>
    <fill>
      <patternFill patternType="solid">
        <fgColor theme="0" tint="-0.14999847407452621"/>
        <bgColor indexed="64"/>
      </patternFill>
    </fill>
    <fill>
      <patternFill patternType="solid">
        <fgColor rgb="FFEAF4E4"/>
        <bgColor indexed="64"/>
      </patternFill>
    </fill>
    <fill>
      <patternFill patternType="solid">
        <fgColor theme="8" tint="0.79998168889431442"/>
        <bgColor indexed="64"/>
      </patternFill>
    </fill>
    <fill>
      <patternFill patternType="solid">
        <fgColor theme="0" tint="-0.249977111117893"/>
        <bgColor indexed="64"/>
      </patternFill>
    </fill>
    <fill>
      <patternFill patternType="solid">
        <fgColor rgb="FF00B050"/>
        <bgColor indexed="64"/>
      </patternFill>
    </fill>
    <fill>
      <patternFill patternType="solid">
        <fgColor theme="6" tint="-0.249977111117893"/>
        <bgColor indexed="64"/>
      </patternFill>
    </fill>
    <fill>
      <patternFill patternType="solid">
        <fgColor theme="0" tint="-4.9989318521683403E-2"/>
        <bgColor indexed="64"/>
      </patternFill>
    </fill>
    <fill>
      <patternFill patternType="solid">
        <fgColor rgb="FFFF5353"/>
        <bgColor indexed="64"/>
      </patternFill>
    </fill>
    <fill>
      <patternFill patternType="solid">
        <fgColor rgb="FF92D050"/>
        <bgColor indexed="64"/>
      </patternFill>
    </fill>
    <fill>
      <patternFill patternType="solid">
        <fgColor rgb="FFFFC000"/>
        <bgColor indexed="64"/>
      </patternFill>
    </fill>
    <fill>
      <patternFill patternType="solid">
        <fgColor theme="5" tint="-0.249977111117893"/>
        <bgColor indexed="64"/>
      </patternFill>
    </fill>
    <fill>
      <patternFill patternType="solid">
        <fgColor theme="9"/>
        <bgColor indexed="64"/>
      </patternFill>
    </fill>
    <fill>
      <patternFill patternType="solid">
        <fgColor theme="0" tint="-0.34998626667073579"/>
        <bgColor indexed="64"/>
      </patternFill>
    </fill>
    <fill>
      <patternFill patternType="solid">
        <fgColor rgb="FFCFC397"/>
        <bgColor indexed="64"/>
      </patternFill>
    </fill>
    <fill>
      <patternFill patternType="solid">
        <fgColor theme="9" tint="-0.249977111117893"/>
        <bgColor indexed="64"/>
      </patternFill>
    </fill>
    <fill>
      <patternFill patternType="solid">
        <fgColor rgb="FF7030A0"/>
        <bgColor indexed="64"/>
      </patternFill>
    </fill>
    <fill>
      <patternFill patternType="solid">
        <fgColor rgb="FFCCCC00"/>
        <bgColor indexed="64"/>
      </patternFill>
    </fill>
    <fill>
      <patternFill patternType="solid">
        <fgColor theme="8" tint="0.39997558519241921"/>
        <bgColor indexed="64"/>
      </patternFill>
    </fill>
    <fill>
      <patternFill patternType="solid">
        <fgColor rgb="FFFFE5E5"/>
        <bgColor indexed="64"/>
      </patternFill>
    </fill>
    <fill>
      <patternFill patternType="solid">
        <fgColor rgb="FFFF9B9B"/>
        <bgColor indexed="64"/>
      </patternFill>
    </fill>
    <fill>
      <patternFill patternType="solid">
        <fgColor rgb="FFFFDDDD"/>
        <bgColor indexed="64"/>
      </patternFill>
    </fill>
    <fill>
      <patternFill patternType="solid">
        <fgColor rgb="FFFFFFFF"/>
        <bgColor indexed="64"/>
      </patternFill>
    </fill>
    <fill>
      <patternFill patternType="solid">
        <fgColor theme="8" tint="0.59999389629810485"/>
        <bgColor indexed="64"/>
      </patternFill>
    </fill>
    <fill>
      <patternFill patternType="solid">
        <fgColor rgb="FFFFC5C5"/>
        <bgColor indexed="64"/>
      </patternFill>
    </fill>
    <fill>
      <patternFill patternType="solid">
        <fgColor theme="3" tint="0.39997558519241921"/>
        <bgColor indexed="64"/>
      </patternFill>
    </fill>
    <fill>
      <patternFill patternType="solid">
        <fgColor rgb="FF349C5C"/>
        <bgColor indexed="64"/>
      </patternFill>
    </fill>
    <fill>
      <patternFill patternType="solid">
        <fgColor theme="1"/>
        <bgColor indexed="64"/>
      </patternFill>
    </fill>
    <fill>
      <patternFill patternType="solid">
        <fgColor rgb="FFFFBDBD"/>
        <bgColor indexed="64"/>
      </patternFill>
    </fill>
    <fill>
      <patternFill patternType="solid">
        <fgColor rgb="FFFFAFAF"/>
        <bgColor indexed="64"/>
      </patternFill>
    </fill>
    <fill>
      <patternFill patternType="solid">
        <fgColor theme="4"/>
        <bgColor indexed="64"/>
      </patternFill>
    </fill>
    <fill>
      <patternFill patternType="solid">
        <fgColor theme="6" tint="0.59999389629810485"/>
        <bgColor indexed="64"/>
      </patternFill>
    </fill>
    <fill>
      <patternFill patternType="solid">
        <fgColor rgb="FF0D0D0D"/>
        <bgColor indexed="64"/>
      </patternFill>
    </fill>
  </fills>
  <borders count="215">
    <border>
      <left/>
      <right/>
      <top/>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medium">
        <color indexed="64"/>
      </left>
      <right/>
      <top/>
      <bottom style="thin">
        <color indexed="64"/>
      </bottom>
      <diagonal/>
    </border>
    <border>
      <left style="thin">
        <color indexed="64"/>
      </left>
      <right style="thin">
        <color indexed="64"/>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top style="thin">
        <color indexed="64"/>
      </top>
      <bottom style="thin">
        <color indexed="64"/>
      </bottom>
      <diagonal/>
    </border>
    <border>
      <left style="medium">
        <color indexed="64"/>
      </left>
      <right style="medium">
        <color indexed="64"/>
      </right>
      <top style="medium">
        <color indexed="64"/>
      </top>
      <bottom/>
      <diagonal/>
    </border>
    <border>
      <left style="thin">
        <color indexed="64"/>
      </left>
      <right/>
      <top style="medium">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right style="medium">
        <color indexed="64"/>
      </right>
      <top/>
      <bottom/>
      <diagonal/>
    </border>
    <border>
      <left/>
      <right/>
      <top style="medium">
        <color indexed="64"/>
      </top>
      <bottom style="medium">
        <color indexed="64"/>
      </bottom>
      <diagonal/>
    </border>
    <border>
      <left style="medium">
        <color indexed="64"/>
      </left>
      <right/>
      <top/>
      <bottom style="medium">
        <color indexed="64"/>
      </bottom>
      <diagonal/>
    </border>
    <border>
      <left/>
      <right/>
      <top/>
      <bottom style="medium">
        <color indexed="64"/>
      </bottom>
      <diagonal/>
    </border>
    <border>
      <left style="medium">
        <color indexed="64"/>
      </left>
      <right/>
      <top/>
      <bottom/>
      <diagonal/>
    </border>
    <border>
      <left style="medium">
        <color indexed="64"/>
      </left>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right/>
      <top style="medium">
        <color indexed="64"/>
      </top>
      <bottom/>
      <diagonal/>
    </border>
    <border>
      <left style="medium">
        <color indexed="64"/>
      </left>
      <right/>
      <top style="medium">
        <color indexed="64"/>
      </top>
      <bottom/>
      <diagonal/>
    </border>
    <border>
      <left style="thin">
        <color indexed="64"/>
      </left>
      <right style="medium">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medium">
        <color indexed="64"/>
      </right>
      <top style="thin">
        <color indexed="64"/>
      </top>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style="thin">
        <color indexed="64"/>
      </bottom>
      <diagonal/>
    </border>
    <border>
      <left style="medium">
        <color indexed="64"/>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diagonal/>
    </border>
    <border>
      <left style="medium">
        <color indexed="64"/>
      </left>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bottom style="thin">
        <color indexed="64"/>
      </bottom>
      <diagonal/>
    </border>
    <border>
      <left/>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theme="1"/>
      </left>
      <right/>
      <top style="thin">
        <color theme="1"/>
      </top>
      <bottom style="thin">
        <color theme="1"/>
      </bottom>
      <diagonal/>
    </border>
    <border>
      <left/>
      <right/>
      <top style="thin">
        <color theme="1"/>
      </top>
      <bottom style="thin">
        <color theme="1"/>
      </bottom>
      <diagonal/>
    </border>
    <border>
      <left/>
      <right style="thin">
        <color theme="1"/>
      </right>
      <top style="thin">
        <color theme="1"/>
      </top>
      <bottom style="thin">
        <color theme="1"/>
      </bottom>
      <diagonal/>
    </border>
    <border>
      <left style="thin">
        <color theme="1"/>
      </left>
      <right/>
      <top style="thin">
        <color theme="1"/>
      </top>
      <bottom/>
      <diagonal/>
    </border>
    <border>
      <left/>
      <right/>
      <top style="thin">
        <color theme="1"/>
      </top>
      <bottom/>
      <diagonal/>
    </border>
    <border>
      <left/>
      <right style="thin">
        <color theme="1"/>
      </right>
      <top style="thin">
        <color theme="1"/>
      </top>
      <bottom/>
      <diagonal/>
    </border>
    <border>
      <left style="thin">
        <color theme="1"/>
      </left>
      <right/>
      <top/>
      <bottom/>
      <diagonal/>
    </border>
    <border>
      <left/>
      <right style="thin">
        <color theme="1"/>
      </right>
      <top/>
      <bottom/>
      <diagonal/>
    </border>
    <border>
      <left style="thin">
        <color theme="1"/>
      </left>
      <right/>
      <top/>
      <bottom style="thin">
        <color theme="1"/>
      </bottom>
      <diagonal/>
    </border>
    <border>
      <left/>
      <right style="thin">
        <color indexed="64"/>
      </right>
      <top/>
      <bottom/>
      <diagonal/>
    </border>
    <border>
      <left style="thin">
        <color indexed="64"/>
      </left>
      <right style="thin">
        <color indexed="64"/>
      </right>
      <top style="medium">
        <color indexed="64"/>
      </top>
      <bottom style="thin">
        <color indexed="64"/>
      </bottom>
      <diagonal/>
    </border>
    <border>
      <left style="thin">
        <color indexed="64"/>
      </left>
      <right/>
      <top/>
      <bottom style="thin">
        <color indexed="64"/>
      </bottom>
      <diagonal/>
    </border>
    <border>
      <left/>
      <right/>
      <top style="medium">
        <color theme="4" tint="-0.499984740745262"/>
      </top>
      <bottom style="thin">
        <color indexed="64"/>
      </bottom>
      <diagonal/>
    </border>
    <border>
      <left/>
      <right style="medium">
        <color indexed="64"/>
      </right>
      <top/>
      <bottom style="thin">
        <color indexed="64"/>
      </bottom>
      <diagonal/>
    </border>
    <border>
      <left style="medium">
        <color indexed="64"/>
      </left>
      <right/>
      <top style="thin">
        <color indexed="64"/>
      </top>
      <bottom/>
      <diagonal/>
    </border>
    <border>
      <left/>
      <right style="medium">
        <color indexed="64"/>
      </right>
      <top style="thin">
        <color indexed="64"/>
      </top>
      <bottom/>
      <diagonal/>
    </border>
    <border>
      <left style="thin">
        <color indexed="64"/>
      </left>
      <right/>
      <top/>
      <bottom/>
      <diagonal/>
    </border>
    <border>
      <left style="thin">
        <color indexed="64"/>
      </left>
      <right/>
      <top style="thin">
        <color indexed="64"/>
      </top>
      <bottom style="medium">
        <color indexed="64"/>
      </bottom>
      <diagonal/>
    </border>
    <border>
      <left style="medium">
        <color indexed="64"/>
      </left>
      <right style="thin">
        <color theme="1"/>
      </right>
      <top style="medium">
        <color indexed="64"/>
      </top>
      <bottom style="thin">
        <color theme="1"/>
      </bottom>
      <diagonal/>
    </border>
    <border>
      <left/>
      <right style="thin">
        <color indexed="64"/>
      </right>
      <top style="medium">
        <color indexed="64"/>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style="thin">
        <color indexed="64"/>
      </right>
      <top/>
      <bottom style="medium">
        <color indexed="64"/>
      </bottom>
      <diagonal/>
    </border>
    <border>
      <left/>
      <right style="thin">
        <color indexed="64"/>
      </right>
      <top style="medium">
        <color indexed="64"/>
      </top>
      <bottom/>
      <diagonal/>
    </border>
    <border>
      <left style="thin">
        <color indexed="64"/>
      </left>
      <right/>
      <top style="medium">
        <color indexed="64"/>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style="thin">
        <color indexed="64"/>
      </right>
      <top/>
      <bottom style="medium">
        <color indexed="64"/>
      </bottom>
      <diagonal/>
    </border>
    <border>
      <left style="thin">
        <color indexed="64"/>
      </left>
      <right/>
      <top/>
      <bottom style="medium">
        <color indexed="64"/>
      </bottom>
      <diagonal/>
    </border>
    <border>
      <left/>
      <right style="thin">
        <color indexed="64"/>
      </right>
      <top style="thin">
        <color indexed="64"/>
      </top>
      <bottom style="medium">
        <color theme="4" tint="-0.499984740745262"/>
      </bottom>
      <diagonal/>
    </border>
    <border>
      <left style="medium">
        <color theme="3" tint="-0.249977111117893"/>
      </left>
      <right style="medium">
        <color theme="3" tint="-0.249977111117893"/>
      </right>
      <top style="medium">
        <color theme="3" tint="-0.249977111117893"/>
      </top>
      <bottom/>
      <diagonal/>
    </border>
    <border>
      <left style="medium">
        <color theme="3" tint="-0.249977111117893"/>
      </left>
      <right style="medium">
        <color theme="3" tint="-0.249977111117893"/>
      </right>
      <top/>
      <bottom/>
      <diagonal/>
    </border>
    <border>
      <left style="medium">
        <color theme="3" tint="-0.249977111117893"/>
      </left>
      <right style="medium">
        <color theme="3" tint="-0.249977111117893"/>
      </right>
      <top/>
      <bottom style="medium">
        <color theme="3" tint="-0.249977111117893"/>
      </bottom>
      <diagonal/>
    </border>
    <border>
      <left style="thin">
        <color theme="1"/>
      </left>
      <right/>
      <top style="thin">
        <color indexed="64"/>
      </top>
      <bottom style="thin">
        <color indexed="64"/>
      </bottom>
      <diagonal/>
    </border>
    <border>
      <left style="medium">
        <color theme="1"/>
      </left>
      <right style="thin">
        <color theme="1"/>
      </right>
      <top style="medium">
        <color theme="1"/>
      </top>
      <bottom style="thin">
        <color theme="1"/>
      </bottom>
      <diagonal/>
    </border>
    <border>
      <left style="thin">
        <color theme="1"/>
      </left>
      <right style="medium">
        <color theme="1"/>
      </right>
      <top style="medium">
        <color theme="1"/>
      </top>
      <bottom style="thin">
        <color theme="1"/>
      </bottom>
      <diagonal/>
    </border>
    <border>
      <left style="medium">
        <color theme="1"/>
      </left>
      <right style="thin">
        <color theme="1"/>
      </right>
      <top style="thin">
        <color theme="1"/>
      </top>
      <bottom style="thin">
        <color theme="1"/>
      </bottom>
      <diagonal/>
    </border>
    <border>
      <left style="thin">
        <color theme="1"/>
      </left>
      <right style="medium">
        <color theme="1"/>
      </right>
      <top style="thin">
        <color theme="1"/>
      </top>
      <bottom style="thin">
        <color theme="1"/>
      </bottom>
      <diagonal/>
    </border>
    <border>
      <left style="medium">
        <color theme="1"/>
      </left>
      <right style="thin">
        <color theme="1"/>
      </right>
      <top style="thin">
        <color theme="1"/>
      </top>
      <bottom style="medium">
        <color theme="1"/>
      </bottom>
      <diagonal/>
    </border>
    <border>
      <left style="thin">
        <color theme="1"/>
      </left>
      <right style="medium">
        <color theme="1"/>
      </right>
      <top style="thin">
        <color theme="1"/>
      </top>
      <bottom style="medium">
        <color theme="1"/>
      </bottom>
      <diagonal/>
    </border>
    <border>
      <left style="medium">
        <color theme="1"/>
      </left>
      <right style="thin">
        <color theme="1"/>
      </right>
      <top/>
      <bottom style="thin">
        <color theme="1"/>
      </bottom>
      <diagonal/>
    </border>
    <border>
      <left style="thin">
        <color theme="1"/>
      </left>
      <right style="medium">
        <color theme="1"/>
      </right>
      <top/>
      <bottom style="thin">
        <color theme="1"/>
      </bottom>
      <diagonal/>
    </border>
    <border>
      <left/>
      <right/>
      <top style="medium">
        <color indexed="64"/>
      </top>
      <bottom style="medium">
        <color theme="5" tint="-0.249977111117893"/>
      </bottom>
      <diagonal/>
    </border>
    <border>
      <left style="medium">
        <color theme="5" tint="-0.249977111117893"/>
      </left>
      <right/>
      <top/>
      <bottom/>
      <diagonal/>
    </border>
    <border>
      <left/>
      <right/>
      <top style="medium">
        <color theme="5" tint="-0.249977111117893"/>
      </top>
      <bottom/>
      <diagonal/>
    </border>
    <border>
      <left style="thin">
        <color indexed="64"/>
      </left>
      <right style="medium">
        <color theme="5" tint="-0.249977111117893"/>
      </right>
      <top style="thin">
        <color indexed="64"/>
      </top>
      <bottom style="medium">
        <color theme="4" tint="-0.499984740745262"/>
      </bottom>
      <diagonal/>
    </border>
    <border>
      <left style="medium">
        <color theme="5" tint="-0.249977111117893"/>
      </left>
      <right style="thin">
        <color indexed="64"/>
      </right>
      <top/>
      <bottom style="medium">
        <color theme="4" tint="-0.499984740745262"/>
      </bottom>
      <diagonal/>
    </border>
    <border>
      <left style="medium">
        <color indexed="64"/>
      </left>
      <right/>
      <top style="medium">
        <color indexed="64"/>
      </top>
      <bottom style="medium">
        <color theme="5" tint="-0.249977111117893"/>
      </bottom>
      <diagonal/>
    </border>
    <border>
      <left style="medium">
        <color theme="5" tint="-0.249977111117893"/>
      </left>
      <right/>
      <top style="medium">
        <color theme="5" tint="-0.249977111117893"/>
      </top>
      <bottom/>
      <diagonal/>
    </border>
    <border>
      <left style="medium">
        <color theme="5" tint="-0.249977111117893"/>
      </left>
      <right style="thin">
        <color indexed="64"/>
      </right>
      <top/>
      <bottom/>
      <diagonal/>
    </border>
    <border>
      <left/>
      <right style="medium">
        <color theme="5" tint="-0.249977111117893"/>
      </right>
      <top/>
      <bottom/>
      <diagonal/>
    </border>
    <border>
      <left style="medium">
        <color theme="5" tint="-0.249977111117893"/>
      </left>
      <right style="medium">
        <color theme="5" tint="-0.249977111117893"/>
      </right>
      <top/>
      <bottom/>
      <diagonal/>
    </border>
    <border>
      <left style="thin">
        <color indexed="64"/>
      </left>
      <right style="medium">
        <color theme="5" tint="-0.249977111117893"/>
      </right>
      <top style="thin">
        <color indexed="64"/>
      </top>
      <bottom style="medium">
        <color indexed="64"/>
      </bottom>
      <diagonal/>
    </border>
    <border>
      <left style="medium">
        <color theme="5" tint="-0.249977111117893"/>
      </left>
      <right style="thin">
        <color indexed="64"/>
      </right>
      <top/>
      <bottom style="medium">
        <color indexed="64"/>
      </bottom>
      <diagonal/>
    </border>
    <border>
      <left style="medium">
        <color theme="5" tint="-0.249977111117893"/>
      </left>
      <right style="thin">
        <color indexed="64"/>
      </right>
      <top style="medium">
        <color theme="5" tint="-0.249977111117893"/>
      </top>
      <bottom/>
      <diagonal/>
    </border>
    <border>
      <left/>
      <right/>
      <top style="medium">
        <color theme="5" tint="-0.249977111117893"/>
      </top>
      <bottom style="medium">
        <color theme="5" tint="-0.249977111117893"/>
      </bottom>
      <diagonal/>
    </border>
    <border>
      <left style="thin">
        <color indexed="64"/>
      </left>
      <right style="medium">
        <color theme="5" tint="-0.249977111117893"/>
      </right>
      <top style="thin">
        <color indexed="64"/>
      </top>
      <bottom style="thin">
        <color indexed="64"/>
      </bottom>
      <diagonal/>
    </border>
    <border>
      <left style="medium">
        <color theme="5" tint="-0.249977111117893"/>
      </left>
      <right style="thin">
        <color indexed="64"/>
      </right>
      <top style="thin">
        <color indexed="64"/>
      </top>
      <bottom/>
      <diagonal/>
    </border>
    <border>
      <left style="medium">
        <color theme="5" tint="-0.249977111117893"/>
      </left>
      <right/>
      <top style="medium">
        <color indexed="64"/>
      </top>
      <bottom style="thin">
        <color indexed="64"/>
      </bottom>
      <diagonal/>
    </border>
    <border>
      <left style="medium">
        <color theme="1"/>
      </left>
      <right/>
      <top style="medium">
        <color theme="1"/>
      </top>
      <bottom style="thin">
        <color indexed="64"/>
      </bottom>
      <diagonal/>
    </border>
    <border>
      <left/>
      <right/>
      <top style="medium">
        <color theme="1"/>
      </top>
      <bottom style="thin">
        <color indexed="64"/>
      </bottom>
      <diagonal/>
    </border>
    <border>
      <left/>
      <right style="medium">
        <color theme="1"/>
      </right>
      <top style="medium">
        <color theme="1"/>
      </top>
      <bottom style="thin">
        <color indexed="64"/>
      </bottom>
      <diagonal/>
    </border>
    <border>
      <left style="medium">
        <color theme="1"/>
      </left>
      <right/>
      <top/>
      <bottom/>
      <diagonal/>
    </border>
    <border>
      <left style="thin">
        <color indexed="64"/>
      </left>
      <right style="medium">
        <color theme="1"/>
      </right>
      <top/>
      <bottom style="thin">
        <color indexed="64"/>
      </bottom>
      <diagonal/>
    </border>
    <border>
      <left style="thin">
        <color indexed="64"/>
      </left>
      <right style="medium">
        <color theme="1"/>
      </right>
      <top style="thin">
        <color indexed="64"/>
      </top>
      <bottom style="thin">
        <color indexed="64"/>
      </bottom>
      <diagonal/>
    </border>
    <border>
      <left style="medium">
        <color theme="1"/>
      </left>
      <right/>
      <top/>
      <bottom style="medium">
        <color theme="1"/>
      </bottom>
      <diagonal/>
    </border>
    <border>
      <left style="thin">
        <color indexed="64"/>
      </left>
      <right style="thin">
        <color indexed="64"/>
      </right>
      <top style="thin">
        <color indexed="64"/>
      </top>
      <bottom style="medium">
        <color theme="1"/>
      </bottom>
      <diagonal/>
    </border>
    <border>
      <left style="thin">
        <color indexed="64"/>
      </left>
      <right style="medium">
        <color theme="1"/>
      </right>
      <top style="thin">
        <color indexed="64"/>
      </top>
      <bottom style="medium">
        <color theme="1"/>
      </bottom>
      <diagonal/>
    </border>
    <border>
      <left style="medium">
        <color theme="1"/>
      </left>
      <right/>
      <top style="medium">
        <color theme="1"/>
      </top>
      <bottom style="medium">
        <color theme="1"/>
      </bottom>
      <diagonal/>
    </border>
    <border>
      <left/>
      <right/>
      <top style="medium">
        <color theme="1"/>
      </top>
      <bottom style="medium">
        <color theme="1"/>
      </bottom>
      <diagonal/>
    </border>
    <border>
      <left/>
      <right style="medium">
        <color theme="1"/>
      </right>
      <top style="medium">
        <color theme="1"/>
      </top>
      <bottom style="medium">
        <color theme="1"/>
      </bottom>
      <diagonal/>
    </border>
    <border>
      <left/>
      <right style="medium">
        <color theme="1"/>
      </right>
      <top style="thin">
        <color indexed="64"/>
      </top>
      <bottom style="thin">
        <color indexed="64"/>
      </bottom>
      <diagonal/>
    </border>
    <border>
      <left style="thin">
        <color indexed="64"/>
      </left>
      <right style="medium">
        <color theme="1"/>
      </right>
      <top style="thin">
        <color indexed="64"/>
      </top>
      <bottom/>
      <diagonal/>
    </border>
    <border>
      <left style="medium">
        <color theme="1"/>
      </left>
      <right style="thin">
        <color indexed="64"/>
      </right>
      <top style="medium">
        <color indexed="64"/>
      </top>
      <bottom style="thin">
        <color indexed="64"/>
      </bottom>
      <diagonal/>
    </border>
    <border>
      <left/>
      <right style="medium">
        <color theme="1"/>
      </right>
      <top style="medium">
        <color indexed="64"/>
      </top>
      <bottom style="thin">
        <color indexed="64"/>
      </bottom>
      <diagonal/>
    </border>
    <border>
      <left style="thin">
        <color indexed="64"/>
      </left>
      <right style="medium">
        <color theme="1"/>
      </right>
      <top/>
      <bottom/>
      <diagonal/>
    </border>
    <border>
      <left style="thin">
        <color indexed="64"/>
      </left>
      <right style="medium">
        <color theme="1"/>
      </right>
      <top style="thin">
        <color indexed="64"/>
      </top>
      <bottom style="medium">
        <color indexed="64"/>
      </bottom>
      <diagonal/>
    </border>
    <border>
      <left style="medium">
        <color theme="1"/>
      </left>
      <right/>
      <top style="medium">
        <color indexed="64"/>
      </top>
      <bottom/>
      <diagonal/>
    </border>
    <border>
      <left style="thin">
        <color indexed="64"/>
      </left>
      <right style="medium">
        <color theme="1"/>
      </right>
      <top style="medium">
        <color indexed="64"/>
      </top>
      <bottom style="thin">
        <color indexed="64"/>
      </bottom>
      <diagonal/>
    </border>
    <border>
      <left style="medium">
        <color theme="1"/>
      </left>
      <right/>
      <top/>
      <bottom style="medium">
        <color indexed="64"/>
      </bottom>
      <diagonal/>
    </border>
    <border>
      <left style="thin">
        <color indexed="64"/>
      </left>
      <right/>
      <top style="thin">
        <color indexed="64"/>
      </top>
      <bottom style="medium">
        <color theme="1"/>
      </bottom>
      <diagonal/>
    </border>
    <border>
      <left/>
      <right/>
      <top/>
      <bottom style="thin">
        <color theme="1"/>
      </bottom>
      <diagonal/>
    </border>
    <border>
      <left/>
      <right style="thin">
        <color theme="1"/>
      </right>
      <top/>
      <bottom style="thin">
        <color theme="1"/>
      </bottom>
      <diagonal/>
    </border>
    <border>
      <left/>
      <right/>
      <top/>
      <bottom style="medium">
        <color rgb="FF7030A0"/>
      </bottom>
      <diagonal/>
    </border>
    <border>
      <left style="thin">
        <color indexed="64"/>
      </left>
      <right style="thin">
        <color indexed="64"/>
      </right>
      <top style="thin">
        <color indexed="64"/>
      </top>
      <bottom style="medium">
        <color rgb="FF7030A0"/>
      </bottom>
      <diagonal/>
    </border>
    <border>
      <left/>
      <right style="medium">
        <color rgb="FF7030A0"/>
      </right>
      <top/>
      <bottom/>
      <diagonal/>
    </border>
    <border>
      <left style="medium">
        <color rgb="FF7030A0"/>
      </left>
      <right style="medium">
        <color rgb="FF7030A0"/>
      </right>
      <top/>
      <bottom/>
      <diagonal/>
    </border>
    <border>
      <left/>
      <right/>
      <top/>
      <bottom style="medium">
        <color theme="1"/>
      </bottom>
      <diagonal/>
    </border>
    <border>
      <left/>
      <right/>
      <top style="medium">
        <color rgb="FF7030A0"/>
      </top>
      <bottom style="medium">
        <color rgb="FF7030A0"/>
      </bottom>
      <diagonal/>
    </border>
    <border>
      <left/>
      <right style="medium">
        <color rgb="FF7030A0"/>
      </right>
      <top style="medium">
        <color rgb="FF7030A0"/>
      </top>
      <bottom style="medium">
        <color rgb="FF7030A0"/>
      </bottom>
      <diagonal/>
    </border>
    <border>
      <left/>
      <right style="medium">
        <color rgb="FF7030A0"/>
      </right>
      <top style="medium">
        <color rgb="FF7030A0"/>
      </top>
      <bottom style="thin">
        <color indexed="64"/>
      </bottom>
      <diagonal/>
    </border>
    <border>
      <left style="thin">
        <color indexed="64"/>
      </left>
      <right style="medium">
        <color rgb="FF7030A0"/>
      </right>
      <top/>
      <bottom style="thin">
        <color indexed="64"/>
      </bottom>
      <diagonal/>
    </border>
    <border>
      <left style="thin">
        <color indexed="64"/>
      </left>
      <right style="medium">
        <color rgb="FF7030A0"/>
      </right>
      <top style="thin">
        <color indexed="64"/>
      </top>
      <bottom style="thin">
        <color indexed="64"/>
      </bottom>
      <diagonal/>
    </border>
    <border>
      <left style="thin">
        <color indexed="64"/>
      </left>
      <right style="medium">
        <color rgb="FF7030A0"/>
      </right>
      <top style="thin">
        <color indexed="64"/>
      </top>
      <bottom style="medium">
        <color theme="1"/>
      </bottom>
      <diagonal/>
    </border>
    <border>
      <left style="thick">
        <color indexed="64"/>
      </left>
      <right/>
      <top/>
      <bottom/>
      <diagonal/>
    </border>
    <border>
      <left style="thick">
        <color indexed="64"/>
      </left>
      <right style="thick">
        <color indexed="64"/>
      </right>
      <top/>
      <bottom/>
      <diagonal/>
    </border>
    <border>
      <left style="thick">
        <color indexed="64"/>
      </left>
      <right/>
      <top style="thick">
        <color indexed="64"/>
      </top>
      <bottom/>
      <diagonal/>
    </border>
    <border>
      <left style="thin">
        <color theme="1"/>
      </left>
      <right style="thin">
        <color indexed="64"/>
      </right>
      <top style="thin">
        <color indexed="64"/>
      </top>
      <bottom style="thin">
        <color indexed="64"/>
      </bottom>
      <diagonal/>
    </border>
    <border>
      <left style="thin">
        <color theme="1"/>
      </left>
      <right/>
      <top style="thin">
        <color indexed="64"/>
      </top>
      <bottom/>
      <diagonal/>
    </border>
    <border>
      <left style="thin">
        <color theme="1"/>
      </left>
      <right style="thin">
        <color indexed="64"/>
      </right>
      <top style="thin">
        <color indexed="64"/>
      </top>
      <bottom/>
      <diagonal/>
    </border>
    <border>
      <left style="thin">
        <color theme="1"/>
      </left>
      <right/>
      <top/>
      <bottom style="thin">
        <color indexed="64"/>
      </bottom>
      <diagonal/>
    </border>
    <border>
      <left style="thin">
        <color indexed="64"/>
      </left>
      <right style="medium">
        <color indexed="64"/>
      </right>
      <top style="medium">
        <color indexed="64"/>
      </top>
      <bottom/>
      <diagonal/>
    </border>
    <border>
      <left style="medium">
        <color rgb="FFFF0000"/>
      </left>
      <right/>
      <top style="medium">
        <color rgb="FFFF0000"/>
      </top>
      <bottom/>
      <diagonal/>
    </border>
    <border>
      <left/>
      <right/>
      <top style="medium">
        <color rgb="FFFF0000"/>
      </top>
      <bottom/>
      <diagonal/>
    </border>
    <border>
      <left/>
      <right style="medium">
        <color rgb="FFFF0000"/>
      </right>
      <top style="medium">
        <color rgb="FFFF0000"/>
      </top>
      <bottom/>
      <diagonal/>
    </border>
    <border>
      <left style="medium">
        <color rgb="FFFF0000"/>
      </left>
      <right/>
      <top/>
      <bottom/>
      <diagonal/>
    </border>
    <border>
      <left/>
      <right style="medium">
        <color rgb="FFFF0000"/>
      </right>
      <top/>
      <bottom/>
      <diagonal/>
    </border>
    <border>
      <left style="medium">
        <color rgb="FFFF0000"/>
      </left>
      <right/>
      <top/>
      <bottom style="medium">
        <color rgb="FFFF0000"/>
      </bottom>
      <diagonal/>
    </border>
    <border>
      <left/>
      <right/>
      <top/>
      <bottom style="medium">
        <color rgb="FFFF0000"/>
      </bottom>
      <diagonal/>
    </border>
    <border>
      <left/>
      <right style="medium">
        <color rgb="FFFF0000"/>
      </right>
      <top/>
      <bottom style="medium">
        <color rgb="FFFF0000"/>
      </bottom>
      <diagonal/>
    </border>
    <border>
      <left/>
      <right/>
      <top style="thick">
        <color indexed="64"/>
      </top>
      <bottom/>
      <diagonal/>
    </border>
    <border>
      <left/>
      <right style="thick">
        <color indexed="64"/>
      </right>
      <top style="thick">
        <color indexed="64"/>
      </top>
      <bottom/>
      <diagonal/>
    </border>
    <border>
      <left style="thick">
        <color indexed="64"/>
      </left>
      <right/>
      <top/>
      <bottom style="thick">
        <color indexed="64"/>
      </bottom>
      <diagonal/>
    </border>
    <border>
      <left/>
      <right/>
      <top/>
      <bottom style="thick">
        <color indexed="64"/>
      </bottom>
      <diagonal/>
    </border>
    <border>
      <left/>
      <right style="thick">
        <color indexed="64"/>
      </right>
      <top/>
      <bottom style="thick">
        <color indexed="64"/>
      </bottom>
      <diagonal/>
    </border>
    <border>
      <left style="thick">
        <color indexed="64"/>
      </left>
      <right style="thin">
        <color indexed="64"/>
      </right>
      <top style="thick">
        <color indexed="64"/>
      </top>
      <bottom style="thin">
        <color indexed="64"/>
      </bottom>
      <diagonal/>
    </border>
    <border>
      <left style="thin">
        <color indexed="64"/>
      </left>
      <right/>
      <top style="thick">
        <color indexed="64"/>
      </top>
      <bottom style="thin">
        <color indexed="64"/>
      </bottom>
      <diagonal/>
    </border>
    <border>
      <left style="medium">
        <color indexed="64"/>
      </left>
      <right style="thick">
        <color indexed="64"/>
      </right>
      <top style="thick">
        <color indexed="64"/>
      </top>
      <bottom style="medium">
        <color indexed="64"/>
      </bottom>
      <diagonal/>
    </border>
    <border>
      <left style="thick">
        <color indexed="64"/>
      </left>
      <right style="thin">
        <color indexed="64"/>
      </right>
      <top style="thin">
        <color indexed="64"/>
      </top>
      <bottom style="thin">
        <color indexed="64"/>
      </bottom>
      <diagonal/>
    </border>
    <border>
      <left style="thin">
        <color indexed="64"/>
      </left>
      <right style="thick">
        <color indexed="64"/>
      </right>
      <top/>
      <bottom style="thin">
        <color indexed="64"/>
      </bottom>
      <diagonal/>
    </border>
    <border>
      <left/>
      <right style="thick">
        <color indexed="64"/>
      </right>
      <top style="thin">
        <color indexed="64"/>
      </top>
      <bottom/>
      <diagonal/>
    </border>
    <border>
      <left style="thick">
        <color indexed="64"/>
      </left>
      <right/>
      <top style="thin">
        <color indexed="64"/>
      </top>
      <bottom style="thick">
        <color indexed="64"/>
      </bottom>
      <diagonal/>
    </border>
    <border>
      <left style="medium">
        <color indexed="64"/>
      </left>
      <right/>
      <top style="medium">
        <color indexed="64"/>
      </top>
      <bottom style="thick">
        <color indexed="64"/>
      </bottom>
      <diagonal/>
    </border>
    <border>
      <left/>
      <right style="thick">
        <color indexed="64"/>
      </right>
      <top style="medium">
        <color indexed="64"/>
      </top>
      <bottom style="thick">
        <color indexed="64"/>
      </bottom>
      <diagonal/>
    </border>
    <border>
      <left/>
      <right style="thin">
        <color indexed="64"/>
      </right>
      <top/>
      <bottom style="medium">
        <color indexed="64"/>
      </bottom>
      <diagonal/>
    </border>
    <border>
      <left/>
      <right style="thin">
        <color theme="1"/>
      </right>
      <top style="thin">
        <color indexed="64"/>
      </top>
      <bottom style="thin">
        <color indexed="64"/>
      </bottom>
      <diagonal/>
    </border>
    <border>
      <left style="thick">
        <color indexed="64"/>
      </left>
      <right style="thin">
        <color indexed="64"/>
      </right>
      <top style="thick">
        <color indexed="64"/>
      </top>
      <bottom style="thick">
        <color indexed="64"/>
      </bottom>
      <diagonal/>
    </border>
    <border>
      <left style="thin">
        <color indexed="64"/>
      </left>
      <right style="thick">
        <color indexed="64"/>
      </right>
      <top style="thick">
        <color indexed="64"/>
      </top>
      <bottom style="thick">
        <color indexed="64"/>
      </bottom>
      <diagonal/>
    </border>
    <border>
      <left style="thin">
        <color indexed="64"/>
      </left>
      <right style="thin">
        <color indexed="64"/>
      </right>
      <top style="thick">
        <color indexed="64"/>
      </top>
      <bottom/>
      <diagonal/>
    </border>
    <border>
      <left style="thin">
        <color indexed="64"/>
      </left>
      <right style="thin">
        <color indexed="64"/>
      </right>
      <top style="thick">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thin">
        <color indexed="64"/>
      </top>
      <bottom style="dotted">
        <color indexed="64"/>
      </bottom>
      <diagonal/>
    </border>
    <border>
      <left/>
      <right/>
      <top style="medium">
        <color theme="1"/>
      </top>
      <bottom/>
      <diagonal/>
    </border>
    <border>
      <left style="medium">
        <color theme="1"/>
      </left>
      <right/>
      <top style="medium">
        <color theme="1"/>
      </top>
      <bottom/>
      <diagonal/>
    </border>
    <border>
      <left/>
      <right style="medium">
        <color theme="1"/>
      </right>
      <top style="medium">
        <color theme="1"/>
      </top>
      <bottom/>
      <diagonal/>
    </border>
    <border>
      <left style="medium">
        <color theme="1"/>
      </left>
      <right style="thin">
        <color indexed="64"/>
      </right>
      <top style="thin">
        <color indexed="64"/>
      </top>
      <bottom/>
      <diagonal/>
    </border>
    <border>
      <left style="thin">
        <color indexed="64"/>
      </left>
      <right style="thin">
        <color indexed="64"/>
      </right>
      <top style="medium">
        <color indexed="64"/>
      </top>
      <bottom/>
      <diagonal/>
    </border>
    <border>
      <left style="medium">
        <color rgb="FF7030A0"/>
      </left>
      <right/>
      <top style="medium">
        <color rgb="FF7030A0"/>
      </top>
      <bottom/>
      <diagonal/>
    </border>
    <border>
      <left style="medium">
        <color theme="1"/>
      </left>
      <right style="thin">
        <color indexed="64"/>
      </right>
      <top style="thin">
        <color indexed="64"/>
      </top>
      <bottom style="thin">
        <color indexed="64"/>
      </bottom>
      <diagonal/>
    </border>
    <border>
      <left style="medium">
        <color indexed="64"/>
      </left>
      <right style="thin">
        <color indexed="64"/>
      </right>
      <top style="medium">
        <color indexed="64"/>
      </top>
      <bottom/>
      <diagonal/>
    </border>
    <border>
      <left style="medium">
        <color theme="1"/>
      </left>
      <right style="thin">
        <color indexed="64"/>
      </right>
      <top style="thin">
        <color indexed="64"/>
      </top>
      <bottom style="medium">
        <color indexed="64"/>
      </bottom>
      <diagonal/>
    </border>
    <border>
      <left style="thin">
        <color indexed="64"/>
      </left>
      <right style="medium">
        <color rgb="FFFF0000"/>
      </right>
      <top style="medium">
        <color theme="1"/>
      </top>
      <bottom style="thin">
        <color indexed="64"/>
      </bottom>
      <diagonal/>
    </border>
    <border>
      <left style="medium">
        <color rgb="FFFF0000"/>
      </left>
      <right style="medium">
        <color indexed="64"/>
      </right>
      <top style="medium">
        <color rgb="FFFF0000"/>
      </top>
      <bottom style="medium">
        <color rgb="FFFF0000"/>
      </bottom>
      <diagonal/>
    </border>
    <border>
      <left style="medium">
        <color theme="1"/>
      </left>
      <right style="thin">
        <color indexed="64"/>
      </right>
      <top style="thin">
        <color indexed="64"/>
      </top>
      <bottom style="thick">
        <color indexed="64"/>
      </bottom>
      <diagonal/>
    </border>
    <border>
      <left style="thin">
        <color indexed="64"/>
      </left>
      <right style="medium">
        <color indexed="64"/>
      </right>
      <top/>
      <bottom/>
      <diagonal/>
    </border>
    <border>
      <left style="mediumDashed">
        <color rgb="FFBBBBBB"/>
      </left>
      <right style="mediumDashed">
        <color rgb="FFBBBBBB"/>
      </right>
      <top style="mediumDashed">
        <color rgb="FFBBBBBB"/>
      </top>
      <bottom style="mediumDashed">
        <color rgb="FFBBBBBB"/>
      </bottom>
      <diagonal/>
    </border>
    <border>
      <left style="mediumDashed">
        <color rgb="FFBBBBBB"/>
      </left>
      <right/>
      <top style="mediumDashed">
        <color rgb="FFBBBBBB"/>
      </top>
      <bottom style="mediumDashed">
        <color rgb="FFBBBBBB"/>
      </bottom>
      <diagonal/>
    </border>
    <border>
      <left style="mediumDashed">
        <color rgb="FFBBBBBB"/>
      </left>
      <right/>
      <top/>
      <bottom style="mediumDashed">
        <color rgb="FFBBBBBB"/>
      </bottom>
      <diagonal/>
    </border>
    <border>
      <left/>
      <right/>
      <top/>
      <bottom style="mediumDashed">
        <color rgb="FFBBBBBB"/>
      </bottom>
      <diagonal/>
    </border>
    <border>
      <left/>
      <right style="mediumDashed">
        <color rgb="FFBBBBBB"/>
      </right>
      <top/>
      <bottom style="mediumDashed">
        <color rgb="FFBBBBBB"/>
      </bottom>
      <diagonal/>
    </border>
    <border>
      <left/>
      <right/>
      <top/>
      <bottom style="thin">
        <color rgb="FFC00000"/>
      </bottom>
      <diagonal/>
    </border>
    <border>
      <left style="thin">
        <color rgb="FFC00000"/>
      </left>
      <right style="thin">
        <color rgb="FFC00000"/>
      </right>
      <top style="thin">
        <color rgb="FFC00000"/>
      </top>
      <bottom style="thin">
        <color rgb="FFC00000"/>
      </bottom>
      <diagonal/>
    </border>
    <border>
      <left style="thin">
        <color rgb="FFC00000"/>
      </left>
      <right style="thin">
        <color indexed="64"/>
      </right>
      <top style="thin">
        <color indexed="64"/>
      </top>
      <bottom style="thin">
        <color indexed="64"/>
      </bottom>
      <diagonal/>
    </border>
    <border>
      <left style="thin">
        <color rgb="FFC00000"/>
      </left>
      <right style="thin">
        <color rgb="FFC00000"/>
      </right>
      <top style="thin">
        <color indexed="64"/>
      </top>
      <bottom style="thin">
        <color indexed="64"/>
      </bottom>
      <diagonal/>
    </border>
    <border>
      <left style="thin">
        <color indexed="64"/>
      </left>
      <right style="thin">
        <color rgb="FFC00000"/>
      </right>
      <top style="thin">
        <color indexed="64"/>
      </top>
      <bottom style="thin">
        <color indexed="64"/>
      </bottom>
      <diagonal/>
    </border>
    <border>
      <left style="medium">
        <color rgb="FFFF0000"/>
      </left>
      <right style="medium">
        <color rgb="FFFF0000"/>
      </right>
      <top style="medium">
        <color rgb="FFFF0000"/>
      </top>
      <bottom style="medium">
        <color rgb="FFFF0000"/>
      </bottom>
      <diagonal/>
    </border>
    <border>
      <left style="thin">
        <color theme="1"/>
      </left>
      <right style="medium">
        <color theme="1"/>
      </right>
      <top/>
      <bottom/>
      <diagonal/>
    </border>
    <border>
      <left style="medium">
        <color theme="1"/>
      </left>
      <right style="thin">
        <color theme="1"/>
      </right>
      <top style="thin">
        <color theme="1"/>
      </top>
      <bottom style="thin">
        <color indexed="64"/>
      </bottom>
      <diagonal/>
    </border>
    <border>
      <left style="medium">
        <color theme="1"/>
      </left>
      <right style="thin">
        <color theme="1"/>
      </right>
      <top/>
      <bottom style="medium">
        <color theme="1"/>
      </bottom>
      <diagonal/>
    </border>
    <border>
      <left style="thin">
        <color theme="1"/>
      </left>
      <right style="medium">
        <color theme="1"/>
      </right>
      <top style="thin">
        <color theme="1"/>
      </top>
      <bottom style="thin">
        <color indexed="64"/>
      </bottom>
      <diagonal/>
    </border>
    <border>
      <left style="thin">
        <color indexed="64"/>
      </left>
      <right style="medium">
        <color theme="1"/>
      </right>
      <top style="medium">
        <color theme="1"/>
      </top>
      <bottom style="thin">
        <color indexed="64"/>
      </bottom>
      <diagonal/>
    </border>
  </borders>
  <cellStyleXfs count="9">
    <xf numFmtId="0" fontId="0" fillId="0" borderId="0"/>
    <xf numFmtId="9" fontId="1" fillId="0" borderId="0" applyFont="0" applyFill="0" applyBorder="0" applyAlignment="0" applyProtection="0"/>
    <xf numFmtId="44" fontId="1" fillId="0" borderId="0" applyFont="0" applyFill="0" applyBorder="0" applyAlignment="0" applyProtection="0"/>
    <xf numFmtId="0" fontId="37" fillId="0" borderId="0"/>
    <xf numFmtId="0" fontId="64" fillId="0" borderId="0" applyNumberFormat="0" applyFill="0" applyBorder="0" applyAlignment="0" applyProtection="0"/>
    <xf numFmtId="0" fontId="64" fillId="0" borderId="0" applyNumberForma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cellStyleXfs>
  <cellXfs count="1558">
    <xf numFmtId="0" fontId="0" fillId="0" borderId="0" xfId="0"/>
    <xf numFmtId="0" fontId="3" fillId="0" borderId="0" xfId="0" applyFont="1" applyAlignment="1">
      <alignment vertical="center" wrapText="1"/>
    </xf>
    <xf numFmtId="0" fontId="0" fillId="0" borderId="0" xfId="0" applyAlignment="1">
      <alignment wrapText="1"/>
    </xf>
    <xf numFmtId="0" fontId="0" fillId="3" borderId="1" xfId="0" applyFill="1" applyBorder="1"/>
    <xf numFmtId="0" fontId="2" fillId="4" borderId="2" xfId="0" applyFont="1" applyFill="1" applyBorder="1" applyAlignment="1">
      <alignment wrapText="1"/>
    </xf>
    <xf numFmtId="0" fontId="0" fillId="5" borderId="3" xfId="0" applyFill="1" applyBorder="1"/>
    <xf numFmtId="2" fontId="2" fillId="4" borderId="9" xfId="0" applyNumberFormat="1" applyFont="1" applyFill="1" applyBorder="1"/>
    <xf numFmtId="2" fontId="2" fillId="4" borderId="1" xfId="0" applyNumberFormat="1" applyFont="1" applyFill="1" applyBorder="1"/>
    <xf numFmtId="0" fontId="0" fillId="0" borderId="1" xfId="0" applyBorder="1"/>
    <xf numFmtId="0" fontId="0" fillId="0" borderId="1" xfId="0" applyBorder="1" applyAlignment="1">
      <alignment wrapText="1"/>
    </xf>
    <xf numFmtId="0" fontId="0" fillId="5" borderId="1" xfId="0" applyFill="1" applyBorder="1" applyAlignment="1">
      <alignment wrapText="1"/>
    </xf>
    <xf numFmtId="0" fontId="0" fillId="8" borderId="7" xfId="0" applyFill="1" applyBorder="1" applyAlignment="1">
      <alignment wrapText="1"/>
    </xf>
    <xf numFmtId="0" fontId="6" fillId="0" borderId="0" xfId="0" applyFont="1"/>
    <xf numFmtId="0" fontId="0" fillId="7" borderId="1" xfId="0" applyFill="1" applyBorder="1" applyAlignment="1">
      <alignment wrapText="1"/>
    </xf>
    <xf numFmtId="0" fontId="0" fillId="10" borderId="1" xfId="0" applyFill="1" applyBorder="1"/>
    <xf numFmtId="2" fontId="2" fillId="10" borderId="1" xfId="0" applyNumberFormat="1" applyFont="1" applyFill="1" applyBorder="1"/>
    <xf numFmtId="0" fontId="0" fillId="10" borderId="1" xfId="0" applyFill="1" applyBorder="1" applyAlignment="1">
      <alignment wrapText="1"/>
    </xf>
    <xf numFmtId="0" fontId="0" fillId="9" borderId="1" xfId="0" applyFill="1" applyBorder="1" applyAlignment="1">
      <alignment vertical="center" wrapText="1"/>
    </xf>
    <xf numFmtId="0" fontId="0" fillId="0" borderId="1" xfId="0" applyBorder="1" applyAlignment="1">
      <alignment horizontal="center" vertical="center"/>
    </xf>
    <xf numFmtId="0" fontId="0" fillId="0" borderId="1" xfId="0" applyBorder="1" applyAlignment="1">
      <alignment horizontal="left" vertical="center"/>
    </xf>
    <xf numFmtId="0" fontId="0" fillId="0" borderId="0" xfId="0" applyAlignment="1">
      <alignment horizontal="left" vertical="center"/>
    </xf>
    <xf numFmtId="0" fontId="0" fillId="10" borderId="1" xfId="0" applyFill="1" applyBorder="1" applyAlignment="1">
      <alignment vertical="center" wrapText="1"/>
    </xf>
    <xf numFmtId="2" fontId="2" fillId="10" borderId="1" xfId="0" applyNumberFormat="1" applyFont="1" applyFill="1" applyBorder="1" applyAlignment="1">
      <alignment vertical="center" wrapText="1"/>
    </xf>
    <xf numFmtId="0" fontId="2" fillId="10" borderId="1" xfId="0" applyFont="1" applyFill="1" applyBorder="1" applyAlignment="1">
      <alignment vertical="center" wrapText="1"/>
    </xf>
    <xf numFmtId="0" fontId="0" fillId="0" borderId="1" xfId="0" applyBorder="1" applyAlignment="1">
      <alignment vertical="center"/>
    </xf>
    <xf numFmtId="0" fontId="0" fillId="0" borderId="1" xfId="0" applyBorder="1" applyAlignment="1">
      <alignment vertical="center" wrapText="1"/>
    </xf>
    <xf numFmtId="2" fontId="2" fillId="10" borderId="1" xfId="0" applyNumberFormat="1" applyFont="1" applyFill="1" applyBorder="1" applyAlignment="1">
      <alignment horizontal="center" vertical="center" wrapText="1"/>
    </xf>
    <xf numFmtId="0" fontId="0" fillId="8" borderId="7" xfId="0" applyFill="1" applyBorder="1" applyAlignment="1">
      <alignment vertical="center" wrapText="1"/>
    </xf>
    <xf numFmtId="0" fontId="0" fillId="8" borderId="3" xfId="0" applyFill="1" applyBorder="1" applyAlignment="1">
      <alignment vertical="center" wrapText="1"/>
    </xf>
    <xf numFmtId="0" fontId="0" fillId="9" borderId="1" xfId="0" applyFill="1" applyBorder="1" applyAlignment="1">
      <alignment horizontal="left" vertical="center" wrapText="1"/>
    </xf>
    <xf numFmtId="0" fontId="10" fillId="0" borderId="0" xfId="0" applyFont="1"/>
    <xf numFmtId="0" fontId="0" fillId="0" borderId="0" xfId="0" applyProtection="1">
      <protection locked="0"/>
    </xf>
    <xf numFmtId="0" fontId="2" fillId="5" borderId="1" xfId="0" applyFont="1" applyFill="1" applyBorder="1" applyProtection="1">
      <protection locked="0"/>
    </xf>
    <xf numFmtId="0" fontId="0" fillId="0" borderId="6" xfId="0" applyBorder="1"/>
    <xf numFmtId="0" fontId="0" fillId="3" borderId="0" xfId="0" applyFill="1"/>
    <xf numFmtId="0" fontId="4" fillId="21" borderId="11" xfId="0" applyFont="1" applyFill="1" applyBorder="1" applyAlignment="1">
      <alignment horizontal="center" vertical="center" wrapText="1"/>
    </xf>
    <xf numFmtId="0" fontId="4" fillId="21" borderId="11" xfId="0" applyFont="1" applyFill="1" applyBorder="1" applyAlignment="1">
      <alignment vertical="center" wrapText="1"/>
    </xf>
    <xf numFmtId="0" fontId="4" fillId="21" borderId="1" xfId="0" applyFont="1" applyFill="1" applyBorder="1" applyAlignment="1">
      <alignment horizontal="center" vertical="center" wrapText="1"/>
    </xf>
    <xf numFmtId="0" fontId="4" fillId="21" borderId="12" xfId="0" applyFont="1" applyFill="1" applyBorder="1" applyAlignment="1">
      <alignment horizontal="center" vertical="center" wrapText="1"/>
    </xf>
    <xf numFmtId="0" fontId="4" fillId="21" borderId="12" xfId="0" applyFont="1" applyFill="1" applyBorder="1" applyAlignment="1">
      <alignment vertical="center" wrapText="1"/>
    </xf>
    <xf numFmtId="0" fontId="4" fillId="21" borderId="14" xfId="0" applyFont="1" applyFill="1" applyBorder="1" applyAlignment="1">
      <alignment horizontal="center" vertical="center" wrapText="1"/>
    </xf>
    <xf numFmtId="0" fontId="4" fillId="18" borderId="1" xfId="0" applyFont="1" applyFill="1" applyBorder="1" applyAlignment="1">
      <alignment vertical="center" wrapText="1"/>
    </xf>
    <xf numFmtId="0" fontId="4" fillId="18" borderId="14" xfId="0" applyFont="1" applyFill="1" applyBorder="1" applyAlignment="1">
      <alignment vertical="center" wrapText="1"/>
    </xf>
    <xf numFmtId="0" fontId="0" fillId="22" borderId="0" xfId="0" applyFill="1" applyProtection="1">
      <protection locked="0"/>
    </xf>
    <xf numFmtId="0" fontId="0" fillId="0" borderId="16" xfId="0" applyBorder="1"/>
    <xf numFmtId="0" fontId="0" fillId="3" borderId="1" xfId="0" applyFill="1" applyBorder="1" applyAlignment="1">
      <alignment horizontal="center"/>
    </xf>
    <xf numFmtId="0" fontId="0" fillId="10" borderId="8" xfId="0" applyFill="1" applyBorder="1"/>
    <xf numFmtId="0" fontId="0" fillId="10" borderId="20" xfId="0" applyFill="1" applyBorder="1"/>
    <xf numFmtId="0" fontId="0" fillId="10" borderId="0" xfId="0" applyFill="1"/>
    <xf numFmtId="0" fontId="0" fillId="24" borderId="1" xfId="0" applyFill="1" applyBorder="1" applyAlignment="1">
      <alignment wrapText="1"/>
    </xf>
    <xf numFmtId="0" fontId="0" fillId="22" borderId="1" xfId="0" applyFill="1" applyBorder="1" applyAlignment="1">
      <alignment horizontal="center"/>
    </xf>
    <xf numFmtId="0" fontId="15" fillId="3" borderId="0" xfId="0" applyFont="1" applyFill="1"/>
    <xf numFmtId="0" fontId="0" fillId="23" borderId="1" xfId="0" applyFill="1" applyBorder="1"/>
    <xf numFmtId="0" fontId="14" fillId="23" borderId="1" xfId="0" applyFont="1" applyFill="1" applyBorder="1"/>
    <xf numFmtId="0" fontId="13" fillId="0" borderId="0" xfId="0" applyFont="1"/>
    <xf numFmtId="0" fontId="0" fillId="0" borderId="20" xfId="0" applyBorder="1"/>
    <xf numFmtId="2" fontId="2" fillId="4" borderId="8" xfId="0" applyNumberFormat="1" applyFont="1" applyFill="1" applyBorder="1"/>
    <xf numFmtId="0" fontId="0" fillId="0" borderId="28" xfId="0" applyBorder="1"/>
    <xf numFmtId="0" fontId="0" fillId="0" borderId="18" xfId="0" applyBorder="1"/>
    <xf numFmtId="167" fontId="0" fillId="0" borderId="1" xfId="0" applyNumberFormat="1" applyBorder="1"/>
    <xf numFmtId="0" fontId="2" fillId="4" borderId="9" xfId="0" applyFont="1" applyFill="1" applyBorder="1" applyAlignment="1">
      <alignment wrapText="1"/>
    </xf>
    <xf numFmtId="0" fontId="2" fillId="10" borderId="1" xfId="0" applyFont="1" applyFill="1" applyBorder="1" applyAlignment="1">
      <alignment wrapText="1"/>
    </xf>
    <xf numFmtId="0" fontId="2" fillId="4" borderId="34" xfId="0" applyFont="1" applyFill="1" applyBorder="1"/>
    <xf numFmtId="0" fontId="2" fillId="4" borderId="2" xfId="0" applyFont="1" applyFill="1" applyBorder="1"/>
    <xf numFmtId="0" fontId="0" fillId="0" borderId="36" xfId="0" applyBorder="1"/>
    <xf numFmtId="0" fontId="0" fillId="0" borderId="5" xfId="0" applyBorder="1"/>
    <xf numFmtId="0" fontId="0" fillId="5" borderId="7" xfId="0" applyFill="1" applyBorder="1"/>
    <xf numFmtId="0" fontId="0" fillId="0" borderId="37" xfId="0" applyBorder="1"/>
    <xf numFmtId="0" fontId="0" fillId="0" borderId="0" xfId="0" quotePrefix="1" applyAlignment="1">
      <alignment wrapText="1"/>
    </xf>
    <xf numFmtId="2" fontId="0" fillId="0" borderId="37" xfId="0" applyNumberFormat="1" applyBorder="1" applyProtection="1">
      <protection hidden="1"/>
    </xf>
    <xf numFmtId="10" fontId="0" fillId="0" borderId="0" xfId="1" applyNumberFormat="1" applyFont="1" applyFill="1" applyBorder="1" applyAlignment="1" applyProtection="1">
      <alignment wrapText="1"/>
      <protection hidden="1"/>
    </xf>
    <xf numFmtId="0" fontId="16" fillId="5" borderId="5" xfId="0" applyFont="1" applyFill="1" applyBorder="1"/>
    <xf numFmtId="0" fontId="0" fillId="0" borderId="37" xfId="0" applyBorder="1" applyProtection="1">
      <protection hidden="1"/>
    </xf>
    <xf numFmtId="2" fontId="0" fillId="0" borderId="32" xfId="0" applyNumberFormat="1" applyBorder="1" applyProtection="1">
      <protection hidden="1"/>
    </xf>
    <xf numFmtId="0" fontId="0" fillId="0" borderId="6" xfId="0" applyBorder="1" applyProtection="1">
      <protection hidden="1"/>
    </xf>
    <xf numFmtId="0" fontId="0" fillId="5" borderId="7" xfId="0" applyFill="1" applyBorder="1" applyAlignment="1">
      <alignment vertical="center"/>
    </xf>
    <xf numFmtId="0" fontId="0" fillId="0" borderId="37" xfId="0" applyBorder="1" applyAlignment="1" applyProtection="1">
      <alignment vertical="center"/>
      <protection hidden="1"/>
    </xf>
    <xf numFmtId="0" fontId="0" fillId="5" borderId="38" xfId="0" applyFill="1" applyBorder="1"/>
    <xf numFmtId="0" fontId="0" fillId="0" borderId="39" xfId="0" applyBorder="1"/>
    <xf numFmtId="0" fontId="0" fillId="7" borderId="20" xfId="0" applyFill="1" applyBorder="1" applyAlignment="1">
      <alignment vertical="center" wrapText="1"/>
    </xf>
    <xf numFmtId="2" fontId="0" fillId="14" borderId="1" xfId="0" applyNumberFormat="1" applyFill="1" applyBorder="1"/>
    <xf numFmtId="44" fontId="0" fillId="0" borderId="6" xfId="0" applyNumberFormat="1" applyBorder="1"/>
    <xf numFmtId="167" fontId="0" fillId="0" borderId="6" xfId="0" applyNumberFormat="1" applyBorder="1"/>
    <xf numFmtId="168" fontId="0" fillId="0" borderId="6" xfId="0" applyNumberFormat="1" applyBorder="1"/>
    <xf numFmtId="2" fontId="0" fillId="0" borderId="0" xfId="0" applyNumberFormat="1"/>
    <xf numFmtId="0" fontId="0" fillId="30" borderId="29" xfId="0" applyFill="1" applyBorder="1"/>
    <xf numFmtId="0" fontId="0" fillId="30" borderId="1" xfId="0" applyFill="1" applyBorder="1"/>
    <xf numFmtId="0" fontId="0" fillId="30" borderId="17" xfId="0" applyFill="1" applyBorder="1"/>
    <xf numFmtId="0" fontId="14" fillId="30" borderId="1" xfId="0" applyFont="1" applyFill="1" applyBorder="1"/>
    <xf numFmtId="0" fontId="0" fillId="30" borderId="1" xfId="0" applyFill="1" applyBorder="1" applyAlignment="1">
      <alignment wrapText="1"/>
    </xf>
    <xf numFmtId="0" fontId="0" fillId="0" borderId="19" xfId="0" applyBorder="1" applyProtection="1">
      <protection locked="0"/>
    </xf>
    <xf numFmtId="0" fontId="0" fillId="0" borderId="17" xfId="0" applyBorder="1" applyProtection="1">
      <protection locked="0"/>
    </xf>
    <xf numFmtId="164" fontId="0" fillId="0" borderId="0" xfId="0" applyNumberFormat="1" applyProtection="1">
      <protection locked="0"/>
    </xf>
    <xf numFmtId="0" fontId="2" fillId="0" borderId="0" xfId="0" applyFont="1" applyProtection="1">
      <protection locked="0"/>
    </xf>
    <xf numFmtId="164" fontId="0" fillId="0" borderId="0" xfId="0" applyNumberFormat="1"/>
    <xf numFmtId="164" fontId="0" fillId="15" borderId="26" xfId="0" applyNumberFormat="1" applyFill="1" applyBorder="1" applyProtection="1">
      <protection locked="0"/>
    </xf>
    <xf numFmtId="0" fontId="13" fillId="29" borderId="24" xfId="0" applyFont="1" applyFill="1" applyBorder="1" applyProtection="1">
      <protection locked="0"/>
    </xf>
    <xf numFmtId="0" fontId="17" fillId="29" borderId="7" xfId="0" applyFont="1" applyFill="1" applyBorder="1" applyProtection="1">
      <protection locked="0"/>
    </xf>
    <xf numFmtId="0" fontId="17" fillId="29" borderId="41" xfId="0" applyFont="1" applyFill="1" applyBorder="1" applyProtection="1">
      <protection locked="0"/>
    </xf>
    <xf numFmtId="0" fontId="0" fillId="7" borderId="6" xfId="0" applyFill="1" applyBorder="1" applyAlignment="1" applyProtection="1">
      <alignment wrapText="1"/>
      <protection locked="0"/>
    </xf>
    <xf numFmtId="0" fontId="0" fillId="6" borderId="6" xfId="0" applyFill="1" applyBorder="1" applyAlignment="1" applyProtection="1">
      <alignment wrapText="1"/>
      <protection locked="0"/>
    </xf>
    <xf numFmtId="0" fontId="2" fillId="0" borderId="0" xfId="0" applyFont="1" applyAlignment="1">
      <alignment vertical="center"/>
    </xf>
    <xf numFmtId="0" fontId="0" fillId="0" borderId="0" xfId="0" applyAlignment="1" applyProtection="1">
      <alignment wrapText="1"/>
      <protection locked="0"/>
    </xf>
    <xf numFmtId="0" fontId="0" fillId="0" borderId="40" xfId="0" applyBorder="1"/>
    <xf numFmtId="0" fontId="0" fillId="0" borderId="6" xfId="0" applyBorder="1" applyAlignment="1" applyProtection="1">
      <alignment wrapText="1"/>
      <protection locked="0"/>
    </xf>
    <xf numFmtId="0" fontId="23" fillId="0" borderId="6" xfId="0" applyFont="1" applyBorder="1" applyProtection="1">
      <protection locked="0"/>
    </xf>
    <xf numFmtId="2" fontId="0" fillId="14" borderId="12" xfId="0" applyNumberFormat="1" applyFill="1" applyBorder="1"/>
    <xf numFmtId="164" fontId="0" fillId="15" borderId="30" xfId="0" applyNumberFormat="1" applyFill="1" applyBorder="1" applyProtection="1">
      <protection locked="0"/>
    </xf>
    <xf numFmtId="164" fontId="0" fillId="15" borderId="33" xfId="0" applyNumberFormat="1" applyFill="1" applyBorder="1" applyProtection="1">
      <protection locked="0"/>
    </xf>
    <xf numFmtId="164" fontId="0" fillId="15" borderId="27" xfId="0" applyNumberFormat="1" applyFill="1" applyBorder="1" applyProtection="1">
      <protection locked="0"/>
    </xf>
    <xf numFmtId="2" fontId="0" fillId="15" borderId="26" xfId="0" applyNumberFormat="1" applyFill="1" applyBorder="1" applyProtection="1">
      <protection locked="0"/>
    </xf>
    <xf numFmtId="2" fontId="0" fillId="15" borderId="27" xfId="0" applyNumberFormat="1" applyFill="1" applyBorder="1" applyProtection="1">
      <protection locked="0"/>
    </xf>
    <xf numFmtId="0" fontId="12" fillId="0" borderId="0" xfId="0" applyFont="1" applyAlignment="1">
      <alignment horizontal="center" vertical="center" wrapText="1"/>
    </xf>
    <xf numFmtId="0" fontId="0" fillId="0" borderId="4" xfId="0" applyBorder="1"/>
    <xf numFmtId="2" fontId="2" fillId="4" borderId="12" xfId="0" applyNumberFormat="1" applyFont="1" applyFill="1" applyBorder="1"/>
    <xf numFmtId="0" fontId="0" fillId="30" borderId="45" xfId="0" applyFill="1" applyBorder="1" applyAlignment="1">
      <alignment wrapText="1"/>
    </xf>
    <xf numFmtId="0" fontId="0" fillId="33" borderId="47" xfId="0" applyFill="1" applyBorder="1"/>
    <xf numFmtId="0" fontId="0" fillId="26" borderId="47" xfId="0" applyFill="1" applyBorder="1"/>
    <xf numFmtId="0" fontId="0" fillId="19" borderId="45" xfId="0" applyFill="1" applyBorder="1"/>
    <xf numFmtId="0" fontId="0" fillId="27" borderId="45" xfId="0" applyFill="1" applyBorder="1" applyAlignment="1">
      <alignment wrapText="1"/>
    </xf>
    <xf numFmtId="0" fontId="0" fillId="27" borderId="46" xfId="0" applyFill="1" applyBorder="1" applyAlignment="1">
      <alignment wrapText="1"/>
    </xf>
    <xf numFmtId="0" fontId="23" fillId="0" borderId="31" xfId="0" applyFont="1" applyBorder="1" applyProtection="1">
      <protection locked="0"/>
    </xf>
    <xf numFmtId="0" fontId="23" fillId="0" borderId="6" xfId="0" applyFont="1" applyBorder="1" applyAlignment="1" applyProtection="1">
      <alignment wrapText="1"/>
      <protection locked="0"/>
    </xf>
    <xf numFmtId="0" fontId="17" fillId="29" borderId="44" xfId="0" applyFont="1" applyFill="1" applyBorder="1" applyProtection="1">
      <protection locked="0"/>
    </xf>
    <xf numFmtId="0" fontId="13" fillId="29" borderId="52" xfId="0" applyFont="1" applyFill="1" applyBorder="1" applyProtection="1">
      <protection locked="0"/>
    </xf>
    <xf numFmtId="0" fontId="17" fillId="29" borderId="53" xfId="0" applyFont="1" applyFill="1" applyBorder="1" applyProtection="1">
      <protection locked="0"/>
    </xf>
    <xf numFmtId="0" fontId="0" fillId="15" borderId="30" xfId="0" applyFill="1" applyBorder="1" applyAlignment="1">
      <alignment horizontal="center"/>
    </xf>
    <xf numFmtId="164" fontId="24" fillId="13" borderId="33" xfId="0" applyNumberFormat="1" applyFont="1" applyFill="1" applyBorder="1"/>
    <xf numFmtId="0" fontId="0" fillId="15" borderId="30" xfId="0" applyFill="1" applyBorder="1" applyAlignment="1">
      <alignment horizontal="center" vertical="center"/>
    </xf>
    <xf numFmtId="0" fontId="11" fillId="0" borderId="0" xfId="0" applyFont="1"/>
    <xf numFmtId="0" fontId="2" fillId="0" borderId="0" xfId="0" applyFont="1"/>
    <xf numFmtId="0" fontId="0" fillId="0" borderId="26" xfId="0" applyBorder="1"/>
    <xf numFmtId="167" fontId="0" fillId="0" borderId="37" xfId="0" applyNumberFormat="1" applyBorder="1" applyAlignment="1">
      <alignment horizontal="center"/>
    </xf>
    <xf numFmtId="0" fontId="0" fillId="0" borderId="0" xfId="0" quotePrefix="1"/>
    <xf numFmtId="0" fontId="0" fillId="0" borderId="0" xfId="0" applyAlignment="1">
      <alignment horizontal="center"/>
    </xf>
    <xf numFmtId="0" fontId="28" fillId="0" borderId="0" xfId="0" applyFont="1"/>
    <xf numFmtId="0" fontId="33" fillId="0" borderId="6" xfId="0" applyFont="1" applyBorder="1" applyAlignment="1">
      <alignment horizontal="center"/>
    </xf>
    <xf numFmtId="0" fontId="17" fillId="29" borderId="50" xfId="0" applyFont="1" applyFill="1" applyBorder="1" applyProtection="1">
      <protection locked="0"/>
    </xf>
    <xf numFmtId="0" fontId="17" fillId="29" borderId="51" xfId="0" applyFont="1" applyFill="1" applyBorder="1" applyProtection="1">
      <protection locked="0"/>
    </xf>
    <xf numFmtId="0" fontId="17" fillId="29" borderId="48" xfId="0" applyFont="1" applyFill="1" applyBorder="1" applyProtection="1">
      <protection locked="0"/>
    </xf>
    <xf numFmtId="0" fontId="21" fillId="0" borderId="0" xfId="0" applyFont="1" applyAlignment="1" applyProtection="1">
      <alignment wrapText="1"/>
      <protection locked="0"/>
    </xf>
    <xf numFmtId="0" fontId="20" fillId="26" borderId="47" xfId="0" applyFont="1" applyFill="1" applyBorder="1"/>
    <xf numFmtId="21" fontId="0" fillId="0" borderId="0" xfId="0" applyNumberFormat="1"/>
    <xf numFmtId="21" fontId="0" fillId="5" borderId="0" xfId="0" applyNumberFormat="1" applyFill="1"/>
    <xf numFmtId="0" fontId="0" fillId="5" borderId="0" xfId="0" applyFill="1"/>
    <xf numFmtId="0" fontId="0" fillId="0" borderId="0" xfId="0" applyAlignment="1">
      <alignment horizontal="left"/>
    </xf>
    <xf numFmtId="21" fontId="0" fillId="0" borderId="0" xfId="0" applyNumberFormat="1" applyAlignment="1">
      <alignment horizontal="left"/>
    </xf>
    <xf numFmtId="0" fontId="0" fillId="0" borderId="6" xfId="0" applyBorder="1" applyAlignment="1" applyProtection="1">
      <alignment horizontal="left" wrapText="1" indent="1"/>
      <protection locked="0"/>
    </xf>
    <xf numFmtId="0" fontId="0" fillId="0" borderId="6" xfId="0" applyBorder="1" applyAlignment="1" applyProtection="1">
      <alignment horizontal="left" vertical="top" wrapText="1" indent="1"/>
      <protection locked="0"/>
    </xf>
    <xf numFmtId="0" fontId="2" fillId="0" borderId="1" xfId="0" applyFont="1" applyBorder="1" applyProtection="1">
      <protection locked="0"/>
    </xf>
    <xf numFmtId="2" fontId="2" fillId="29" borderId="29" xfId="0" applyNumberFormat="1" applyFont="1" applyFill="1" applyBorder="1"/>
    <xf numFmtId="0" fontId="2" fillId="29" borderId="35" xfId="0" applyFont="1" applyFill="1" applyBorder="1" applyAlignment="1">
      <alignment wrapText="1"/>
    </xf>
    <xf numFmtId="2" fontId="2" fillId="29" borderId="1" xfId="0" applyNumberFormat="1" applyFont="1" applyFill="1" applyBorder="1"/>
    <xf numFmtId="0" fontId="0" fillId="29" borderId="0" xfId="0" applyFill="1" applyAlignment="1">
      <alignment vertical="center"/>
    </xf>
    <xf numFmtId="0" fontId="0" fillId="29" borderId="0" xfId="0" applyFill="1"/>
    <xf numFmtId="0" fontId="0" fillId="29" borderId="0" xfId="0" applyFill="1" applyAlignment="1">
      <alignment wrapText="1"/>
    </xf>
    <xf numFmtId="0" fontId="0" fillId="29" borderId="1" xfId="0" applyFill="1" applyBorder="1" applyAlignment="1">
      <alignment wrapText="1"/>
    </xf>
    <xf numFmtId="0" fontId="0" fillId="29" borderId="1" xfId="0" applyFill="1" applyBorder="1"/>
    <xf numFmtId="2" fontId="2" fillId="29" borderId="1" xfId="0" applyNumberFormat="1" applyFont="1" applyFill="1" applyBorder="1" applyAlignment="1">
      <alignment wrapText="1"/>
    </xf>
    <xf numFmtId="0" fontId="39" fillId="7" borderId="1" xfId="0" applyFont="1" applyFill="1" applyBorder="1" applyAlignment="1">
      <alignment wrapText="1"/>
    </xf>
    <xf numFmtId="2" fontId="0" fillId="25" borderId="12" xfId="0" applyNumberFormat="1" applyFill="1" applyBorder="1" applyProtection="1">
      <protection locked="0"/>
    </xf>
    <xf numFmtId="2" fontId="0" fillId="25" borderId="1" xfId="0" applyNumberFormat="1" applyFill="1" applyBorder="1" applyProtection="1">
      <protection locked="0"/>
    </xf>
    <xf numFmtId="2" fontId="0" fillId="31" borderId="6" xfId="0" applyNumberFormat="1" applyFill="1" applyBorder="1" applyProtection="1">
      <protection locked="0"/>
    </xf>
    <xf numFmtId="0" fontId="0" fillId="31" borderId="8" xfId="0" applyFill="1" applyBorder="1"/>
    <xf numFmtId="164" fontId="0" fillId="31" borderId="1" xfId="0" applyNumberFormat="1" applyFill="1" applyBorder="1" applyAlignment="1">
      <alignment horizontal="center" vertical="center"/>
    </xf>
    <xf numFmtId="2" fontId="0" fillId="31" borderId="1" xfId="0" applyNumberFormat="1" applyFill="1" applyBorder="1" applyAlignment="1">
      <alignment horizontal="center" vertical="center"/>
    </xf>
    <xf numFmtId="0" fontId="0" fillId="10" borderId="1" xfId="0" applyFill="1" applyBorder="1" applyAlignment="1">
      <alignment horizontal="left" vertical="center" wrapText="1"/>
    </xf>
    <xf numFmtId="0" fontId="0" fillId="10" borderId="12" xfId="0" applyFill="1" applyBorder="1" applyAlignment="1">
      <alignment horizontal="left" vertical="center" wrapText="1"/>
    </xf>
    <xf numFmtId="0" fontId="0" fillId="10" borderId="6" xfId="0" applyFill="1" applyBorder="1" applyAlignment="1">
      <alignment wrapText="1"/>
    </xf>
    <xf numFmtId="0" fontId="0" fillId="31" borderId="12" xfId="0" applyFill="1" applyBorder="1" applyAlignment="1">
      <alignment horizontal="left" vertical="center" wrapText="1"/>
    </xf>
    <xf numFmtId="2" fontId="0" fillId="31" borderId="5" xfId="0" applyNumberFormat="1" applyFill="1" applyBorder="1"/>
    <xf numFmtId="166" fontId="0" fillId="31" borderId="26" xfId="0" applyNumberFormat="1" applyFill="1" applyBorder="1"/>
    <xf numFmtId="10" fontId="0" fillId="31" borderId="1" xfId="0" applyNumberFormat="1" applyFill="1" applyBorder="1" applyAlignment="1" applyProtection="1">
      <alignment vertical="center"/>
      <protection hidden="1"/>
    </xf>
    <xf numFmtId="2" fontId="0" fillId="31" borderId="1" xfId="0" applyNumberFormat="1" applyFill="1" applyBorder="1" applyAlignment="1" applyProtection="1">
      <alignment vertical="center"/>
      <protection hidden="1"/>
    </xf>
    <xf numFmtId="2" fontId="0" fillId="31" borderId="1" xfId="0" applyNumberFormat="1" applyFill="1" applyBorder="1" applyProtection="1">
      <protection hidden="1"/>
    </xf>
    <xf numFmtId="10" fontId="0" fillId="31" borderId="1" xfId="0" applyNumberFormat="1" applyFill="1" applyBorder="1" applyProtection="1">
      <protection hidden="1"/>
    </xf>
    <xf numFmtId="0" fontId="0" fillId="31" borderId="16" xfId="0" applyFill="1" applyBorder="1"/>
    <xf numFmtId="2" fontId="2" fillId="21" borderId="9" xfId="0" applyNumberFormat="1" applyFont="1" applyFill="1" applyBorder="1"/>
    <xf numFmtId="0" fontId="2" fillId="21" borderId="2" xfId="0" applyFont="1" applyFill="1" applyBorder="1" applyAlignment="1">
      <alignment wrapText="1"/>
    </xf>
    <xf numFmtId="0" fontId="2" fillId="0" borderId="14" xfId="0" applyFont="1" applyBorder="1" applyProtection="1">
      <protection locked="0"/>
    </xf>
    <xf numFmtId="0" fontId="3" fillId="0" borderId="1" xfId="0" applyFont="1" applyBorder="1" applyAlignment="1">
      <alignment vertical="center" wrapText="1"/>
    </xf>
    <xf numFmtId="0" fontId="0" fillId="0" borderId="14" xfId="0" applyBorder="1"/>
    <xf numFmtId="0" fontId="3" fillId="29" borderId="0" xfId="0" applyFont="1" applyFill="1" applyAlignment="1">
      <alignment vertical="center" wrapText="1"/>
    </xf>
    <xf numFmtId="0" fontId="0" fillId="9" borderId="20" xfId="0" applyFill="1" applyBorder="1"/>
    <xf numFmtId="0" fontId="0" fillId="9" borderId="1" xfId="0" applyFill="1" applyBorder="1"/>
    <xf numFmtId="0" fontId="0" fillId="9" borderId="6" xfId="0" applyFill="1" applyBorder="1"/>
    <xf numFmtId="0" fontId="0" fillId="0" borderId="20" xfId="0" applyBorder="1" applyAlignment="1">
      <alignment wrapText="1"/>
    </xf>
    <xf numFmtId="0" fontId="0" fillId="30" borderId="47" xfId="0" applyFill="1" applyBorder="1" applyAlignment="1" applyProtection="1">
      <alignment wrapText="1"/>
      <protection locked="0"/>
    </xf>
    <xf numFmtId="0" fontId="0" fillId="6" borderId="45" xfId="0" applyFill="1" applyBorder="1" applyAlignment="1" applyProtection="1">
      <alignment wrapText="1"/>
      <protection locked="0"/>
    </xf>
    <xf numFmtId="0" fontId="0" fillId="11" borderId="45" xfId="0" applyFill="1" applyBorder="1" applyAlignment="1" applyProtection="1">
      <alignment wrapText="1"/>
      <protection locked="0"/>
    </xf>
    <xf numFmtId="0" fontId="0" fillId="12" borderId="45" xfId="0" applyFill="1" applyBorder="1" applyAlignment="1" applyProtection="1">
      <alignment wrapText="1"/>
      <protection locked="0"/>
    </xf>
    <xf numFmtId="0" fontId="0" fillId="12" borderId="46" xfId="0" applyFill="1" applyBorder="1" applyAlignment="1" applyProtection="1">
      <alignment wrapText="1"/>
      <protection locked="0"/>
    </xf>
    <xf numFmtId="0" fontId="0" fillId="3" borderId="43" xfId="0" applyFill="1" applyBorder="1" applyAlignment="1" applyProtection="1">
      <alignment wrapText="1"/>
      <protection locked="0"/>
    </xf>
    <xf numFmtId="0" fontId="0" fillId="3" borderId="0" xfId="0" applyFill="1" applyAlignment="1" applyProtection="1">
      <alignment wrapText="1"/>
      <protection locked="0"/>
    </xf>
    <xf numFmtId="0" fontId="0" fillId="17" borderId="0" xfId="0" applyFill="1" applyAlignment="1" applyProtection="1">
      <alignment wrapText="1"/>
      <protection locked="0"/>
    </xf>
    <xf numFmtId="0" fontId="0" fillId="17" borderId="0" xfId="0" applyFill="1" applyAlignment="1" applyProtection="1">
      <alignment vertical="top" wrapText="1"/>
      <protection locked="0"/>
    </xf>
    <xf numFmtId="0" fontId="0" fillId="6" borderId="5" xfId="0" applyFill="1" applyBorder="1" applyAlignment="1" applyProtection="1">
      <alignment wrapText="1"/>
      <protection locked="0"/>
    </xf>
    <xf numFmtId="0" fontId="0" fillId="11" borderId="5" xfId="0" applyFill="1" applyBorder="1" applyAlignment="1" applyProtection="1">
      <alignment wrapText="1"/>
      <protection locked="0"/>
    </xf>
    <xf numFmtId="0" fontId="0" fillId="12" borderId="5" xfId="0" applyFill="1" applyBorder="1" applyAlignment="1" applyProtection="1">
      <alignment wrapText="1"/>
      <protection locked="0"/>
    </xf>
    <xf numFmtId="0" fontId="0" fillId="17" borderId="5" xfId="0" applyFill="1" applyBorder="1" applyAlignment="1" applyProtection="1">
      <alignment wrapText="1"/>
      <protection locked="0"/>
    </xf>
    <xf numFmtId="0" fontId="0" fillId="17" borderId="5" xfId="0" applyFill="1" applyBorder="1" applyAlignment="1" applyProtection="1">
      <alignment vertical="top" wrapText="1"/>
      <protection locked="0"/>
    </xf>
    <xf numFmtId="0" fontId="0" fillId="12" borderId="42" xfId="0" applyFill="1" applyBorder="1" applyAlignment="1" applyProtection="1">
      <alignment wrapText="1"/>
      <protection locked="0"/>
    </xf>
    <xf numFmtId="1" fontId="0" fillId="0" borderId="0" xfId="0" applyNumberFormat="1" applyProtection="1">
      <protection locked="0"/>
    </xf>
    <xf numFmtId="1" fontId="2" fillId="0" borderId="0" xfId="0" applyNumberFormat="1" applyFont="1" applyAlignment="1" applyProtection="1">
      <alignment horizontal="center" vertical="center" wrapText="1"/>
      <protection locked="0"/>
    </xf>
    <xf numFmtId="1" fontId="0" fillId="0" borderId="0" xfId="0" applyNumberFormat="1"/>
    <xf numFmtId="0" fontId="13" fillId="0" borderId="0" xfId="0" applyFont="1" applyProtection="1">
      <protection locked="0"/>
    </xf>
    <xf numFmtId="1" fontId="13" fillId="0" borderId="0" xfId="0" applyNumberFormat="1" applyFont="1"/>
    <xf numFmtId="0" fontId="0" fillId="0" borderId="6" xfId="0" applyBorder="1" applyProtection="1">
      <protection locked="0"/>
    </xf>
    <xf numFmtId="0" fontId="0" fillId="0" borderId="13" xfId="0" applyBorder="1"/>
    <xf numFmtId="164" fontId="42" fillId="13" borderId="26" xfId="0" applyNumberFormat="1" applyFont="1" applyFill="1" applyBorder="1"/>
    <xf numFmtId="0" fontId="0" fillId="0" borderId="6" xfId="0" applyBorder="1" applyAlignment="1" applyProtection="1">
      <alignment horizontal="left" wrapText="1"/>
      <protection locked="0"/>
    </xf>
    <xf numFmtId="0" fontId="0" fillId="0" borderId="6" xfId="0" applyBorder="1" applyAlignment="1">
      <alignment horizontal="left"/>
    </xf>
    <xf numFmtId="0" fontId="38" fillId="0" borderId="6" xfId="3" applyFont="1" applyBorder="1" applyAlignment="1">
      <alignment horizontal="left"/>
    </xf>
    <xf numFmtId="0" fontId="39" fillId="0" borderId="6" xfId="0" applyFont="1" applyBorder="1" applyAlignment="1">
      <alignment horizontal="left"/>
    </xf>
    <xf numFmtId="0" fontId="0" fillId="0" borderId="6" xfId="0" applyBorder="1" applyAlignment="1" applyProtection="1">
      <alignment horizontal="left"/>
      <protection locked="0"/>
    </xf>
    <xf numFmtId="0" fontId="0" fillId="0" borderId="6" xfId="0" applyBorder="1" applyAlignment="1" applyProtection="1">
      <alignment horizontal="left" vertical="center" wrapText="1"/>
      <protection locked="0"/>
    </xf>
    <xf numFmtId="21" fontId="0" fillId="0" borderId="6" xfId="0" applyNumberFormat="1" applyBorder="1" applyAlignment="1">
      <alignment horizontal="left"/>
    </xf>
    <xf numFmtId="0" fontId="0" fillId="0" borderId="6" xfId="0" applyBorder="1" applyAlignment="1" applyProtection="1">
      <alignment horizontal="left" vertical="top" wrapText="1"/>
      <protection locked="0"/>
    </xf>
    <xf numFmtId="0" fontId="39" fillId="0" borderId="6" xfId="0" applyFont="1" applyBorder="1" applyAlignment="1">
      <alignment horizontal="left" vertical="top" wrapText="1"/>
    </xf>
    <xf numFmtId="0" fontId="0" fillId="0" borderId="26" xfId="0" applyBorder="1" applyAlignment="1" applyProtection="1">
      <alignment horizontal="left" wrapText="1"/>
      <protection locked="0"/>
    </xf>
    <xf numFmtId="0" fontId="0" fillId="0" borderId="26" xfId="0" applyBorder="1" applyAlignment="1">
      <alignment horizontal="left"/>
    </xf>
    <xf numFmtId="0" fontId="38" fillId="0" borderId="26" xfId="3" applyFont="1" applyBorder="1" applyAlignment="1">
      <alignment horizontal="left"/>
    </xf>
    <xf numFmtId="0" fontId="39" fillId="0" borderId="26" xfId="0" applyFont="1" applyBorder="1" applyAlignment="1">
      <alignment horizontal="left"/>
    </xf>
    <xf numFmtId="0" fontId="0" fillId="0" borderId="26" xfId="0" applyBorder="1" applyAlignment="1" applyProtection="1">
      <alignment horizontal="left"/>
      <protection locked="0"/>
    </xf>
    <xf numFmtId="0" fontId="0" fillId="0" borderId="26" xfId="0" applyBorder="1" applyAlignment="1" applyProtection="1">
      <alignment horizontal="left" vertical="center" wrapText="1"/>
      <protection locked="0"/>
    </xf>
    <xf numFmtId="0" fontId="0" fillId="0" borderId="26" xfId="0" applyBorder="1" applyAlignment="1" applyProtection="1">
      <alignment horizontal="left" vertical="top" wrapText="1"/>
      <protection locked="0"/>
    </xf>
    <xf numFmtId="0" fontId="39" fillId="0" borderId="26" xfId="0" applyFont="1" applyBorder="1" applyAlignment="1">
      <alignment horizontal="left" vertical="top" wrapText="1"/>
    </xf>
    <xf numFmtId="0" fontId="0" fillId="0" borderId="40" xfId="0" applyBorder="1" applyAlignment="1">
      <alignment horizontal="left"/>
    </xf>
    <xf numFmtId="0" fontId="0" fillId="0" borderId="27" xfId="0" applyBorder="1" applyAlignment="1">
      <alignment horizontal="left"/>
    </xf>
    <xf numFmtId="0" fontId="2" fillId="11" borderId="21" xfId="0" applyFont="1" applyFill="1" applyBorder="1" applyAlignment="1">
      <alignment horizontal="center"/>
    </xf>
    <xf numFmtId="0" fontId="2" fillId="32" borderId="64" xfId="0" applyFont="1" applyFill="1" applyBorder="1" applyAlignment="1">
      <alignment horizontal="center"/>
    </xf>
    <xf numFmtId="0" fontId="2" fillId="24" borderId="25" xfId="0" applyFont="1" applyFill="1" applyBorder="1" applyAlignment="1">
      <alignment horizontal="center"/>
    </xf>
    <xf numFmtId="0" fontId="2" fillId="0" borderId="0" xfId="0" applyFont="1" applyAlignment="1">
      <alignment horizontal="center"/>
    </xf>
    <xf numFmtId="0" fontId="2" fillId="0" borderId="5" xfId="0" applyFont="1" applyBorder="1" applyAlignment="1">
      <alignment horizontal="center"/>
    </xf>
    <xf numFmtId="0" fontId="2" fillId="0" borderId="5" xfId="0" applyFont="1" applyBorder="1" applyAlignment="1" applyProtection="1">
      <alignment horizontal="center" wrapText="1"/>
      <protection locked="0"/>
    </xf>
    <xf numFmtId="0" fontId="43" fillId="0" borderId="5" xfId="0" applyFont="1" applyBorder="1" applyAlignment="1">
      <alignment horizontal="center" vertical="center" wrapText="1"/>
    </xf>
    <xf numFmtId="0" fontId="2" fillId="0" borderId="22" xfId="0" applyFont="1" applyBorder="1" applyAlignment="1" applyProtection="1">
      <alignment horizontal="center" wrapText="1"/>
      <protection locked="0"/>
    </xf>
    <xf numFmtId="0" fontId="13" fillId="29" borderId="66" xfId="0" applyFont="1" applyFill="1" applyBorder="1" applyProtection="1">
      <protection locked="0"/>
    </xf>
    <xf numFmtId="2" fontId="0" fillId="0" borderId="0" xfId="0" applyNumberFormat="1" applyProtection="1">
      <protection locked="0"/>
    </xf>
    <xf numFmtId="167" fontId="0" fillId="0" borderId="0" xfId="0" applyNumberFormat="1"/>
    <xf numFmtId="0" fontId="0" fillId="27" borderId="0" xfId="0" applyFill="1"/>
    <xf numFmtId="167" fontId="0" fillId="27" borderId="1" xfId="0" applyNumberFormat="1" applyFill="1" applyBorder="1"/>
    <xf numFmtId="0" fontId="2" fillId="4" borderId="35" xfId="0" applyFont="1" applyFill="1" applyBorder="1" applyAlignment="1">
      <alignment wrapText="1"/>
    </xf>
    <xf numFmtId="0" fontId="2" fillId="4" borderId="1" xfId="0" applyFont="1" applyFill="1" applyBorder="1" applyAlignment="1">
      <alignment wrapText="1"/>
    </xf>
    <xf numFmtId="0" fontId="0" fillId="0" borderId="0" xfId="0" applyAlignment="1">
      <alignment horizontal="right"/>
    </xf>
    <xf numFmtId="0" fontId="0" fillId="0" borderId="29" xfId="0" applyBorder="1"/>
    <xf numFmtId="0" fontId="0" fillId="25" borderId="6" xfId="0" applyFill="1" applyBorder="1"/>
    <xf numFmtId="2" fontId="2" fillId="29" borderId="14" xfId="0" applyNumberFormat="1" applyFont="1" applyFill="1" applyBorder="1"/>
    <xf numFmtId="2" fontId="0" fillId="25" borderId="16" xfId="0" applyNumberFormat="1" applyFill="1" applyBorder="1"/>
    <xf numFmtId="44" fontId="0" fillId="10" borderId="1" xfId="0" applyNumberFormat="1" applyFill="1" applyBorder="1"/>
    <xf numFmtId="0" fontId="0" fillId="2" borderId="18" xfId="0" applyFill="1" applyBorder="1"/>
    <xf numFmtId="2" fontId="2" fillId="21" borderId="1" xfId="0" applyNumberFormat="1" applyFont="1" applyFill="1" applyBorder="1"/>
    <xf numFmtId="0" fontId="0" fillId="25" borderId="1" xfId="0" applyFill="1" applyBorder="1"/>
    <xf numFmtId="2" fontId="2" fillId="25" borderId="1" xfId="0" applyNumberFormat="1" applyFont="1" applyFill="1" applyBorder="1"/>
    <xf numFmtId="2" fontId="0" fillId="25" borderId="11" xfId="0" applyNumberFormat="1" applyFill="1" applyBorder="1"/>
    <xf numFmtId="9" fontId="0" fillId="25" borderId="1" xfId="1" applyFont="1" applyFill="1" applyBorder="1" applyAlignment="1" applyProtection="1">
      <alignment horizontal="center" vertical="center" wrapText="1"/>
    </xf>
    <xf numFmtId="2" fontId="0" fillId="25" borderId="1" xfId="0" applyNumberFormat="1" applyFill="1" applyBorder="1"/>
    <xf numFmtId="0" fontId="0" fillId="29" borderId="0" xfId="0" applyFill="1" applyAlignment="1">
      <alignment vertical="center" wrapText="1"/>
    </xf>
    <xf numFmtId="0" fontId="4" fillId="14" borderId="6" xfId="0" applyFont="1" applyFill="1" applyBorder="1" applyAlignment="1">
      <alignment vertical="center" wrapText="1"/>
    </xf>
    <xf numFmtId="0" fontId="0" fillId="16" borderId="6" xfId="0" applyFill="1" applyBorder="1"/>
    <xf numFmtId="0" fontId="0" fillId="14" borderId="6" xfId="0" applyFill="1" applyBorder="1"/>
    <xf numFmtId="0" fontId="0" fillId="28" borderId="0" xfId="0" applyFill="1"/>
    <xf numFmtId="0" fontId="0" fillId="12" borderId="5" xfId="0" applyFill="1" applyBorder="1" applyAlignment="1">
      <alignment horizontal="left" wrapText="1" indent="1"/>
    </xf>
    <xf numFmtId="2" fontId="2" fillId="4" borderId="2" xfId="0" applyNumberFormat="1" applyFont="1" applyFill="1" applyBorder="1"/>
    <xf numFmtId="2" fontId="0" fillId="31" borderId="1" xfId="0" applyNumberFormat="1" applyFill="1" applyBorder="1"/>
    <xf numFmtId="2" fontId="0" fillId="0" borderId="32" xfId="0" applyNumberFormat="1" applyBorder="1"/>
    <xf numFmtId="2" fontId="0" fillId="0" borderId="4" xfId="0" applyNumberFormat="1" applyBorder="1"/>
    <xf numFmtId="2" fontId="0" fillId="0" borderId="31" xfId="0" applyNumberFormat="1" applyBorder="1"/>
    <xf numFmtId="2" fontId="0" fillId="9" borderId="37" xfId="0" applyNumberFormat="1" applyFill="1" applyBorder="1"/>
    <xf numFmtId="0" fontId="0" fillId="34" borderId="16" xfId="0" applyFill="1" applyBorder="1"/>
    <xf numFmtId="2" fontId="0" fillId="34" borderId="1" xfId="0" applyNumberFormat="1" applyFill="1" applyBorder="1"/>
    <xf numFmtId="0" fontId="0" fillId="34" borderId="12" xfId="0" applyFill="1" applyBorder="1"/>
    <xf numFmtId="2" fontId="0" fillId="34" borderId="16" xfId="0" applyNumberFormat="1" applyFill="1" applyBorder="1"/>
    <xf numFmtId="2" fontId="0" fillId="9" borderId="1" xfId="0" applyNumberFormat="1" applyFill="1" applyBorder="1"/>
    <xf numFmtId="0" fontId="14" fillId="9" borderId="1" xfId="0" applyFont="1" applyFill="1" applyBorder="1" applyAlignment="1">
      <alignment horizontal="center"/>
    </xf>
    <xf numFmtId="165" fontId="0" fillId="10" borderId="20" xfId="0" applyNumberFormat="1" applyFill="1" applyBorder="1"/>
    <xf numFmtId="2" fontId="0" fillId="15" borderId="10" xfId="0" applyNumberFormat="1" applyFill="1" applyBorder="1"/>
    <xf numFmtId="165" fontId="0" fillId="15" borderId="12" xfId="0" applyNumberFormat="1" applyFill="1" applyBorder="1"/>
    <xf numFmtId="9" fontId="0" fillId="15" borderId="11" xfId="1" applyFont="1" applyFill="1" applyBorder="1" applyProtection="1"/>
    <xf numFmtId="0" fontId="0" fillId="15" borderId="12" xfId="0" applyFill="1" applyBorder="1"/>
    <xf numFmtId="2" fontId="0" fillId="9" borderId="12" xfId="0" applyNumberFormat="1" applyFill="1" applyBorder="1"/>
    <xf numFmtId="165" fontId="0" fillId="9" borderId="1" xfId="0" applyNumberFormat="1" applyFill="1" applyBorder="1"/>
    <xf numFmtId="0" fontId="0" fillId="9" borderId="12" xfId="0" applyFill="1" applyBorder="1"/>
    <xf numFmtId="2" fontId="0" fillId="34" borderId="11" xfId="0" applyNumberFormat="1" applyFill="1" applyBorder="1"/>
    <xf numFmtId="0" fontId="14" fillId="34" borderId="1" xfId="0" applyFont="1" applyFill="1" applyBorder="1" applyAlignment="1">
      <alignment horizontal="center"/>
    </xf>
    <xf numFmtId="0" fontId="0" fillId="34" borderId="1" xfId="0" applyFill="1" applyBorder="1"/>
    <xf numFmtId="0" fontId="0" fillId="10" borderId="12" xfId="0" applyFill="1" applyBorder="1"/>
    <xf numFmtId="164" fontId="0" fillId="34" borderId="25" xfId="0" applyNumberFormat="1" applyFill="1" applyBorder="1"/>
    <xf numFmtId="0" fontId="0" fillId="0" borderId="7" xfId="0" applyBorder="1"/>
    <xf numFmtId="0" fontId="0" fillId="28" borderId="21" xfId="0" applyFill="1" applyBorder="1"/>
    <xf numFmtId="164" fontId="0" fillId="15" borderId="25" xfId="0" applyNumberFormat="1" applyFill="1" applyBorder="1"/>
    <xf numFmtId="0" fontId="0" fillId="28" borderId="5" xfId="0" applyFill="1" applyBorder="1"/>
    <xf numFmtId="164" fontId="0" fillId="15" borderId="26" xfId="0" applyNumberFormat="1" applyFill="1" applyBorder="1"/>
    <xf numFmtId="0" fontId="0" fillId="0" borderId="22" xfId="0" applyBorder="1"/>
    <xf numFmtId="164" fontId="0" fillId="15" borderId="27" xfId="0" applyNumberFormat="1" applyFill="1" applyBorder="1"/>
    <xf numFmtId="0" fontId="0" fillId="28" borderId="3" xfId="0" applyFill="1" applyBorder="1"/>
    <xf numFmtId="0" fontId="0" fillId="28" borderId="7" xfId="0" applyFill="1" applyBorder="1"/>
    <xf numFmtId="0" fontId="0" fillId="28" borderId="38" xfId="0" applyFill="1" applyBorder="1"/>
    <xf numFmtId="2" fontId="2" fillId="29" borderId="8" xfId="0" applyNumberFormat="1" applyFont="1" applyFill="1" applyBorder="1" applyAlignment="1">
      <alignment wrapText="1"/>
    </xf>
    <xf numFmtId="0" fontId="0" fillId="0" borderId="10" xfId="0" applyBorder="1"/>
    <xf numFmtId="164" fontId="0" fillId="0" borderId="6" xfId="0" applyNumberFormat="1" applyBorder="1"/>
    <xf numFmtId="0" fontId="0" fillId="0" borderId="15" xfId="0" applyBorder="1"/>
    <xf numFmtId="0" fontId="0" fillId="0" borderId="6" xfId="0" applyBorder="1" applyAlignment="1">
      <alignment horizontal="center"/>
    </xf>
    <xf numFmtId="6" fontId="0" fillId="0" borderId="6" xfId="0" applyNumberFormat="1" applyBorder="1"/>
    <xf numFmtId="0" fontId="0" fillId="27" borderId="5" xfId="0" applyFill="1" applyBorder="1"/>
    <xf numFmtId="0" fontId="0" fillId="27" borderId="6" xfId="0" applyFill="1" applyBorder="1"/>
    <xf numFmtId="0" fontId="0" fillId="27" borderId="15" xfId="0" applyFill="1" applyBorder="1"/>
    <xf numFmtId="164" fontId="42" fillId="13" borderId="6" xfId="0" applyNumberFormat="1" applyFont="1" applyFill="1" applyBorder="1"/>
    <xf numFmtId="2" fontId="0" fillId="0" borderId="6" xfId="0" applyNumberFormat="1" applyBorder="1"/>
    <xf numFmtId="0" fontId="0" fillId="27" borderId="22" xfId="0" applyFill="1" applyBorder="1"/>
    <xf numFmtId="167" fontId="0" fillId="27" borderId="40" xfId="0" applyNumberFormat="1" applyFill="1" applyBorder="1"/>
    <xf numFmtId="0" fontId="0" fillId="0" borderId="11" xfId="0" applyBorder="1"/>
    <xf numFmtId="0" fontId="0" fillId="20" borderId="0" xfId="0" applyFill="1"/>
    <xf numFmtId="164" fontId="20" fillId="34" borderId="62" xfId="0" applyNumberFormat="1" applyFont="1" applyFill="1" applyBorder="1"/>
    <xf numFmtId="168" fontId="0" fillId="0" borderId="0" xfId="0" applyNumberFormat="1"/>
    <xf numFmtId="0" fontId="20" fillId="0" borderId="0" xfId="0" applyFont="1"/>
    <xf numFmtId="0" fontId="20" fillId="0" borderId="0" xfId="0" applyFont="1" applyProtection="1">
      <protection locked="0"/>
    </xf>
    <xf numFmtId="0" fontId="0" fillId="0" borderId="31" xfId="0" applyBorder="1"/>
    <xf numFmtId="0" fontId="0" fillId="0" borderId="50" xfId="0" applyBorder="1" applyAlignment="1" applyProtection="1">
      <alignment wrapText="1"/>
      <protection locked="0"/>
    </xf>
    <xf numFmtId="2" fontId="0" fillId="34" borderId="12" xfId="0" applyNumberFormat="1" applyFill="1" applyBorder="1"/>
    <xf numFmtId="2" fontId="2" fillId="4" borderId="29" xfId="0" applyNumberFormat="1" applyFont="1" applyFill="1" applyBorder="1"/>
    <xf numFmtId="0" fontId="14" fillId="30" borderId="6" xfId="0" applyFont="1" applyFill="1" applyBorder="1"/>
    <xf numFmtId="0" fontId="0" fillId="0" borderId="0" xfId="0" applyAlignment="1">
      <alignment horizontal="left" indent="1"/>
    </xf>
    <xf numFmtId="9" fontId="0" fillId="0" borderId="0" xfId="1" applyFont="1"/>
    <xf numFmtId="0" fontId="2" fillId="37" borderId="0" xfId="0" applyFont="1" applyFill="1"/>
    <xf numFmtId="0" fontId="2" fillId="0" borderId="0" xfId="0" applyFont="1" applyAlignment="1">
      <alignment horizontal="left" indent="1"/>
    </xf>
    <xf numFmtId="0" fontId="45" fillId="37" borderId="6" xfId="0" applyFont="1" applyFill="1" applyBorder="1" applyAlignment="1">
      <alignment horizontal="center"/>
    </xf>
    <xf numFmtId="0" fontId="0" fillId="3" borderId="0" xfId="0" applyFill="1" applyAlignment="1">
      <alignment horizontal="center"/>
    </xf>
    <xf numFmtId="0" fontId="0" fillId="0" borderId="24" xfId="0" applyBorder="1" applyAlignment="1">
      <alignment horizontal="left" indent="1"/>
    </xf>
    <xf numFmtId="0" fontId="46" fillId="0" borderId="24" xfId="0" applyFont="1" applyBorder="1" applyAlignment="1" applyProtection="1">
      <alignment horizontal="center"/>
      <protection locked="0"/>
    </xf>
    <xf numFmtId="0" fontId="0" fillId="0" borderId="48" xfId="0" applyBorder="1" applyAlignment="1">
      <alignment horizontal="center"/>
    </xf>
    <xf numFmtId="0" fontId="0" fillId="0" borderId="48" xfId="0" applyBorder="1"/>
    <xf numFmtId="44" fontId="0" fillId="0" borderId="48" xfId="2" applyFont="1" applyBorder="1"/>
    <xf numFmtId="0" fontId="0" fillId="0" borderId="0" xfId="0" applyAlignment="1">
      <alignment horizontal="right" indent="1"/>
    </xf>
    <xf numFmtId="171" fontId="0" fillId="0" borderId="0" xfId="0" applyNumberFormat="1" applyAlignment="1">
      <alignment horizontal="center"/>
    </xf>
    <xf numFmtId="44" fontId="2" fillId="0" borderId="0" xfId="2" applyFont="1"/>
    <xf numFmtId="9" fontId="0" fillId="0" borderId="0" xfId="1" applyFont="1" applyAlignment="1">
      <alignment horizontal="center"/>
    </xf>
    <xf numFmtId="2" fontId="2" fillId="0" borderId="0" xfId="0" applyNumberFormat="1" applyFont="1" applyAlignment="1">
      <alignment horizontal="center"/>
    </xf>
    <xf numFmtId="0" fontId="2" fillId="21" borderId="0" xfId="0" applyFont="1" applyFill="1" applyAlignment="1">
      <alignment horizontal="right"/>
    </xf>
    <xf numFmtId="2" fontId="45" fillId="21" borderId="0" xfId="0" applyNumberFormat="1" applyFont="1" applyFill="1" applyAlignment="1">
      <alignment horizontal="center"/>
    </xf>
    <xf numFmtId="2" fontId="0" fillId="3" borderId="0" xfId="0" applyNumberFormat="1" applyFill="1" applyAlignment="1">
      <alignment horizontal="center"/>
    </xf>
    <xf numFmtId="0" fontId="2" fillId="0" borderId="48" xfId="0" applyFont="1" applyBorder="1" applyAlignment="1">
      <alignment horizontal="left"/>
    </xf>
    <xf numFmtId="0" fontId="2" fillId="0" borderId="48" xfId="0" applyFont="1" applyBorder="1" applyAlignment="1">
      <alignment horizontal="center"/>
    </xf>
    <xf numFmtId="0" fontId="2" fillId="19" borderId="0" xfId="0" applyFont="1" applyFill="1" applyAlignment="1">
      <alignment horizontal="right"/>
    </xf>
    <xf numFmtId="44" fontId="2" fillId="19" borderId="0" xfId="0" applyNumberFormat="1" applyFont="1" applyFill="1"/>
    <xf numFmtId="0" fontId="0" fillId="22" borderId="6" xfId="0" applyFill="1" applyBorder="1" applyAlignment="1" applyProtection="1">
      <alignment horizontal="right" wrapText="1"/>
      <protection locked="0"/>
    </xf>
    <xf numFmtId="0" fontId="0" fillId="15" borderId="6" xfId="0" applyFill="1" applyBorder="1" applyProtection="1">
      <protection locked="0"/>
    </xf>
    <xf numFmtId="0" fontId="2" fillId="0" borderId="19" xfId="0" applyFont="1" applyBorder="1" applyProtection="1">
      <protection locked="0"/>
    </xf>
    <xf numFmtId="0" fontId="48" fillId="0" borderId="19" xfId="0" applyFont="1" applyBorder="1" applyProtection="1">
      <protection locked="0"/>
    </xf>
    <xf numFmtId="0" fontId="48" fillId="0" borderId="17" xfId="0" applyFont="1" applyBorder="1" applyProtection="1">
      <protection locked="0"/>
    </xf>
    <xf numFmtId="0" fontId="2" fillId="22" borderId="6" xfId="0" applyFont="1" applyFill="1" applyBorder="1" applyAlignment="1" applyProtection="1">
      <alignment horizontal="right" wrapText="1"/>
      <protection locked="0"/>
    </xf>
    <xf numFmtId="1" fontId="0" fillId="14" borderId="24" xfId="0" applyNumberFormat="1" applyFill="1" applyBorder="1" applyAlignment="1" applyProtection="1">
      <alignment horizontal="center"/>
      <protection locked="0"/>
    </xf>
    <xf numFmtId="1" fontId="0" fillId="14" borderId="24" xfId="1" applyNumberFormat="1" applyFont="1" applyFill="1" applyBorder="1" applyAlignment="1" applyProtection="1">
      <alignment horizontal="center"/>
      <protection locked="0"/>
    </xf>
    <xf numFmtId="1" fontId="0" fillId="0" borderId="0" xfId="1" applyNumberFormat="1" applyFont="1" applyAlignment="1">
      <alignment horizontal="center"/>
    </xf>
    <xf numFmtId="2" fontId="2" fillId="3" borderId="0" xfId="0" applyNumberFormat="1" applyFont="1" applyFill="1"/>
    <xf numFmtId="2" fontId="0" fillId="3" borderId="0" xfId="0" applyNumberFormat="1" applyFill="1"/>
    <xf numFmtId="1" fontId="0" fillId="0" borderId="0" xfId="1" applyNumberFormat="1" applyFont="1" applyAlignment="1">
      <alignment horizontal="center" vertical="center"/>
    </xf>
    <xf numFmtId="0" fontId="2" fillId="23" borderId="0" xfId="0" applyFont="1" applyFill="1"/>
    <xf numFmtId="2" fontId="45" fillId="37" borderId="6" xfId="0" applyNumberFormat="1" applyFont="1" applyFill="1" applyBorder="1" applyAlignment="1">
      <alignment horizontal="center"/>
    </xf>
    <xf numFmtId="0" fontId="45" fillId="37" borderId="0" xfId="0" applyFont="1" applyFill="1" applyAlignment="1">
      <alignment horizontal="center"/>
    </xf>
    <xf numFmtId="0" fontId="17" fillId="29" borderId="49" xfId="0" applyFont="1" applyFill="1" applyBorder="1" applyProtection="1">
      <protection locked="0"/>
    </xf>
    <xf numFmtId="0" fontId="0" fillId="23" borderId="0" xfId="0" applyFill="1"/>
    <xf numFmtId="44" fontId="0" fillId="0" borderId="37" xfId="0" applyNumberFormat="1" applyBorder="1" applyAlignment="1">
      <alignment horizontal="center"/>
    </xf>
    <xf numFmtId="0" fontId="2" fillId="22" borderId="6" xfId="0" applyFont="1" applyFill="1" applyBorder="1" applyAlignment="1" applyProtection="1">
      <alignment horizontal="center" wrapText="1"/>
      <protection locked="0"/>
    </xf>
    <xf numFmtId="0" fontId="50" fillId="0" borderId="0" xfId="0" applyFont="1"/>
    <xf numFmtId="2" fontId="2" fillId="38" borderId="0" xfId="0" applyNumberFormat="1" applyFont="1" applyFill="1"/>
    <xf numFmtId="0" fontId="17" fillId="29" borderId="0" xfId="0" applyFont="1" applyFill="1" applyAlignment="1">
      <alignment horizontal="center"/>
    </xf>
    <xf numFmtId="0" fontId="2" fillId="39" borderId="0" xfId="0" applyFont="1" applyFill="1" applyAlignment="1">
      <alignment horizontal="center"/>
    </xf>
    <xf numFmtId="2" fontId="51" fillId="29" borderId="0" xfId="0" applyNumberFormat="1" applyFont="1" applyFill="1"/>
    <xf numFmtId="2" fontId="2" fillId="39" borderId="0" xfId="0" applyNumberFormat="1" applyFont="1" applyFill="1" applyAlignment="1">
      <alignment horizontal="center"/>
    </xf>
    <xf numFmtId="0" fontId="0" fillId="22" borderId="0" xfId="0" applyFill="1"/>
    <xf numFmtId="0" fontId="27" fillId="22" borderId="0" xfId="0" applyFont="1" applyFill="1"/>
    <xf numFmtId="0" fontId="52" fillId="22" borderId="3" xfId="0" applyFont="1" applyFill="1" applyBorder="1"/>
    <xf numFmtId="164" fontId="52" fillId="0" borderId="4" xfId="0" applyNumberFormat="1" applyFont="1" applyBorder="1" applyAlignment="1">
      <alignment horizontal="right"/>
    </xf>
    <xf numFmtId="0" fontId="52" fillId="22" borderId="7" xfId="0" applyFont="1" applyFill="1" applyBorder="1"/>
    <xf numFmtId="164" fontId="52" fillId="0" borderId="6" xfId="0" applyNumberFormat="1" applyFont="1" applyBorder="1" applyAlignment="1">
      <alignment horizontal="right"/>
    </xf>
    <xf numFmtId="168" fontId="52" fillId="0" borderId="41" xfId="0" applyNumberFormat="1" applyFont="1" applyBorder="1"/>
    <xf numFmtId="0" fontId="52" fillId="22" borderId="68" xfId="0" applyFont="1" applyFill="1" applyBorder="1"/>
    <xf numFmtId="164" fontId="52" fillId="0" borderId="31" xfId="0" applyNumberFormat="1" applyFont="1" applyBorder="1" applyAlignment="1">
      <alignment horizontal="right"/>
    </xf>
    <xf numFmtId="168" fontId="52" fillId="0" borderId="69" xfId="0" applyNumberFormat="1" applyFont="1" applyBorder="1"/>
    <xf numFmtId="0" fontId="30" fillId="0" borderId="0" xfId="0" applyFont="1" applyProtection="1">
      <protection locked="0"/>
    </xf>
    <xf numFmtId="0" fontId="17" fillId="0" borderId="0" xfId="0" applyFont="1" applyProtection="1">
      <protection locked="0"/>
    </xf>
    <xf numFmtId="170" fontId="24" fillId="0" borderId="0" xfId="0" applyNumberFormat="1" applyFont="1" applyProtection="1">
      <protection locked="0"/>
    </xf>
    <xf numFmtId="164" fontId="24" fillId="0" borderId="0" xfId="0" applyNumberFormat="1" applyFont="1"/>
    <xf numFmtId="164" fontId="23" fillId="0" borderId="0" xfId="0" applyNumberFormat="1" applyFont="1"/>
    <xf numFmtId="164" fontId="25" fillId="0" borderId="0" xfId="0" applyNumberFormat="1" applyFont="1"/>
    <xf numFmtId="169" fontId="25" fillId="0" borderId="0" xfId="0" applyNumberFormat="1" applyFont="1"/>
    <xf numFmtId="164" fontId="0" fillId="0" borderId="0" xfId="0" applyNumberFormat="1" applyAlignment="1" applyProtection="1">
      <alignment horizontal="center" wrapText="1"/>
      <protection locked="0"/>
    </xf>
    <xf numFmtId="2" fontId="2" fillId="0" borderId="0" xfId="0" applyNumberFormat="1" applyFont="1" applyAlignment="1" applyProtection="1">
      <alignment horizontal="center" vertical="center" wrapText="1"/>
      <protection locked="0"/>
    </xf>
    <xf numFmtId="0" fontId="2" fillId="0" borderId="0" xfId="0" applyFont="1" applyAlignment="1" applyProtection="1">
      <alignment horizontal="center"/>
      <protection locked="0"/>
    </xf>
    <xf numFmtId="0" fontId="2" fillId="0" borderId="0" xfId="0" applyFont="1" applyAlignment="1" applyProtection="1">
      <alignment horizontal="center" wrapText="1"/>
      <protection locked="0"/>
    </xf>
    <xf numFmtId="0" fontId="53" fillId="22" borderId="6" xfId="0" applyFont="1" applyFill="1" applyBorder="1" applyAlignment="1" applyProtection="1">
      <alignment horizontal="center" wrapText="1"/>
      <protection locked="0"/>
    </xf>
    <xf numFmtId="0" fontId="0" fillId="40" borderId="0" xfId="0" applyFill="1"/>
    <xf numFmtId="0" fontId="0" fillId="41" borderId="0" xfId="0" applyFill="1"/>
    <xf numFmtId="0" fontId="2" fillId="39" borderId="17" xfId="0" applyFont="1" applyFill="1" applyBorder="1" applyAlignment="1">
      <alignment horizontal="center" wrapText="1"/>
    </xf>
    <xf numFmtId="0" fontId="2" fillId="39" borderId="18" xfId="0" applyFont="1" applyFill="1" applyBorder="1" applyAlignment="1">
      <alignment horizontal="center" wrapText="1"/>
    </xf>
    <xf numFmtId="0" fontId="2" fillId="39" borderId="11" xfId="0" applyFont="1" applyFill="1" applyBorder="1" applyAlignment="1">
      <alignment horizontal="center" wrapText="1"/>
    </xf>
    <xf numFmtId="0" fontId="42" fillId="0" borderId="0" xfId="0" applyFont="1" applyAlignment="1">
      <alignment horizontal="center"/>
    </xf>
    <xf numFmtId="164" fontId="42" fillId="13" borderId="26" xfId="0" applyNumberFormat="1" applyFont="1" applyFill="1" applyBorder="1" applyAlignment="1">
      <alignment horizontal="center"/>
    </xf>
    <xf numFmtId="167" fontId="42" fillId="0" borderId="6" xfId="0" applyNumberFormat="1" applyFont="1" applyBorder="1" applyAlignment="1">
      <alignment horizontal="center"/>
    </xf>
    <xf numFmtId="0" fontId="42" fillId="31" borderId="6" xfId="0" applyFont="1" applyFill="1" applyBorder="1" applyAlignment="1">
      <alignment horizontal="center"/>
    </xf>
    <xf numFmtId="167" fontId="42" fillId="31" borderId="6" xfId="0" applyNumberFormat="1" applyFont="1" applyFill="1" applyBorder="1" applyAlignment="1">
      <alignment horizontal="center"/>
    </xf>
    <xf numFmtId="167" fontId="54" fillId="31" borderId="6" xfId="2" applyNumberFormat="1" applyFont="1" applyFill="1" applyBorder="1" applyAlignment="1">
      <alignment horizontal="center" vertical="center"/>
    </xf>
    <xf numFmtId="167" fontId="54" fillId="0" borderId="6" xfId="0" applyNumberFormat="1" applyFont="1" applyBorder="1" applyAlignment="1">
      <alignment horizontal="center" vertical="center"/>
    </xf>
    <xf numFmtId="2" fontId="2" fillId="39" borderId="6" xfId="0" applyNumberFormat="1" applyFont="1" applyFill="1" applyBorder="1" applyAlignment="1">
      <alignment horizontal="center"/>
    </xf>
    <xf numFmtId="0" fontId="2" fillId="39" borderId="6" xfId="0" applyFont="1" applyFill="1" applyBorder="1" applyAlignment="1">
      <alignment horizontal="center"/>
    </xf>
    <xf numFmtId="0" fontId="2" fillId="39" borderId="23" xfId="0" applyFont="1" applyFill="1" applyBorder="1" applyAlignment="1">
      <alignment horizontal="center" wrapText="1"/>
    </xf>
    <xf numFmtId="2" fontId="2" fillId="39" borderId="37" xfId="0" applyNumberFormat="1" applyFont="1" applyFill="1" applyBorder="1" applyAlignment="1">
      <alignment horizontal="center" wrapText="1"/>
    </xf>
    <xf numFmtId="0" fontId="2" fillId="5" borderId="0" xfId="0" applyFont="1" applyFill="1"/>
    <xf numFmtId="2" fontId="2" fillId="5" borderId="0" xfId="0" applyNumberFormat="1" applyFont="1" applyFill="1"/>
    <xf numFmtId="0" fontId="0" fillId="22" borderId="4" xfId="0" applyFill="1" applyBorder="1" applyAlignment="1" applyProtection="1">
      <alignment wrapText="1"/>
      <protection locked="0"/>
    </xf>
    <xf numFmtId="0" fontId="0" fillId="22" borderId="6" xfId="0" applyFill="1" applyBorder="1" applyAlignment="1" applyProtection="1">
      <alignment wrapText="1"/>
      <protection locked="0"/>
    </xf>
    <xf numFmtId="0" fontId="0" fillId="22" borderId="31" xfId="0" applyFill="1" applyBorder="1" applyAlignment="1" applyProtection="1">
      <alignment wrapText="1"/>
      <protection locked="0"/>
    </xf>
    <xf numFmtId="164" fontId="0" fillId="0" borderId="49" xfId="0" applyNumberFormat="1" applyBorder="1" applyProtection="1">
      <protection locked="0"/>
    </xf>
    <xf numFmtId="0" fontId="0" fillId="22" borderId="50" xfId="0" applyFill="1" applyBorder="1" applyProtection="1">
      <protection locked="0"/>
    </xf>
    <xf numFmtId="0" fontId="0" fillId="22" borderId="51" xfId="0" applyFill="1" applyBorder="1" applyProtection="1">
      <protection locked="0"/>
    </xf>
    <xf numFmtId="164" fontId="0" fillId="0" borderId="70" xfId="0" applyNumberFormat="1" applyBorder="1" applyProtection="1">
      <protection locked="0"/>
    </xf>
    <xf numFmtId="0" fontId="0" fillId="22" borderId="63" xfId="0" applyFill="1" applyBorder="1" applyProtection="1">
      <protection locked="0"/>
    </xf>
    <xf numFmtId="164" fontId="0" fillId="0" borderId="65" xfId="0" applyNumberFormat="1" applyBorder="1" applyProtection="1">
      <protection locked="0"/>
    </xf>
    <xf numFmtId="0" fontId="0" fillId="22" borderId="48" xfId="0" applyFill="1" applyBorder="1" applyProtection="1">
      <protection locked="0"/>
    </xf>
    <xf numFmtId="0" fontId="0" fillId="22" borderId="36" xfId="0" applyFill="1" applyBorder="1" applyProtection="1">
      <protection locked="0"/>
    </xf>
    <xf numFmtId="0" fontId="0" fillId="0" borderId="48" xfId="0" applyBorder="1" applyProtection="1">
      <protection locked="0"/>
    </xf>
    <xf numFmtId="0" fontId="20" fillId="0" borderId="0" xfId="0" applyFont="1" applyAlignment="1">
      <alignment horizontal="right"/>
    </xf>
    <xf numFmtId="1" fontId="0" fillId="0" borderId="49" xfId="0" applyNumberFormat="1" applyBorder="1" applyProtection="1">
      <protection locked="0"/>
    </xf>
    <xf numFmtId="2" fontId="0" fillId="0" borderId="50" xfId="0" applyNumberFormat="1" applyBorder="1"/>
    <xf numFmtId="0" fontId="0" fillId="0" borderId="50" xfId="0" applyBorder="1" applyProtection="1">
      <protection locked="0"/>
    </xf>
    <xf numFmtId="1" fontId="0" fillId="0" borderId="70" xfId="0" applyNumberFormat="1" applyBorder="1" applyProtection="1">
      <protection locked="0"/>
    </xf>
    <xf numFmtId="1" fontId="0" fillId="0" borderId="65" xfId="0" applyNumberFormat="1" applyBorder="1" applyProtection="1">
      <protection locked="0"/>
    </xf>
    <xf numFmtId="0" fontId="0" fillId="23" borderId="5" xfId="0" applyFill="1" applyBorder="1"/>
    <xf numFmtId="0" fontId="0" fillId="23" borderId="22" xfId="0" applyFill="1" applyBorder="1"/>
    <xf numFmtId="0" fontId="0" fillId="0" borderId="72" xfId="0" applyBorder="1"/>
    <xf numFmtId="0" fontId="0" fillId="0" borderId="73" xfId="0" applyBorder="1"/>
    <xf numFmtId="0" fontId="0" fillId="0" borderId="64" xfId="0" applyBorder="1"/>
    <xf numFmtId="0" fontId="0" fillId="0" borderId="25" xfId="0" applyBorder="1"/>
    <xf numFmtId="0" fontId="0" fillId="9" borderId="26" xfId="0" applyFill="1" applyBorder="1"/>
    <xf numFmtId="0" fontId="0" fillId="0" borderId="74" xfId="0" applyBorder="1"/>
    <xf numFmtId="2" fontId="0" fillId="9" borderId="39" xfId="0" applyNumberFormat="1" applyFill="1" applyBorder="1"/>
    <xf numFmtId="0" fontId="0" fillId="9" borderId="40" xfId="0" applyFill="1" applyBorder="1"/>
    <xf numFmtId="0" fontId="0" fillId="9" borderId="27" xfId="0" applyFill="1" applyBorder="1"/>
    <xf numFmtId="2" fontId="2" fillId="4" borderId="20" xfId="0" applyNumberFormat="1" applyFont="1" applyFill="1" applyBorder="1"/>
    <xf numFmtId="0" fontId="0" fillId="0" borderId="70" xfId="0" applyBorder="1" applyProtection="1">
      <protection locked="0"/>
    </xf>
    <xf numFmtId="0" fontId="0" fillId="0" borderId="63" xfId="0" applyBorder="1" applyProtection="1">
      <protection locked="0"/>
    </xf>
    <xf numFmtId="0" fontId="17" fillId="29" borderId="29" xfId="0" applyFont="1" applyFill="1" applyBorder="1" applyProtection="1">
      <protection locked="0"/>
    </xf>
    <xf numFmtId="0" fontId="17" fillId="29" borderId="28" xfId="0" applyFont="1" applyFill="1" applyBorder="1" applyProtection="1">
      <protection locked="0"/>
    </xf>
    <xf numFmtId="2" fontId="0" fillId="0" borderId="28" xfId="0" applyNumberFormat="1" applyBorder="1"/>
    <xf numFmtId="2" fontId="0" fillId="0" borderId="10" xfId="0" applyNumberFormat="1" applyBorder="1"/>
    <xf numFmtId="0" fontId="2" fillId="22" borderId="5" xfId="0" applyFont="1" applyFill="1" applyBorder="1" applyAlignment="1" applyProtection="1">
      <alignment horizontal="center" wrapText="1"/>
      <protection locked="0"/>
    </xf>
    <xf numFmtId="2" fontId="0" fillId="0" borderId="15" xfId="0" applyNumberFormat="1" applyBorder="1"/>
    <xf numFmtId="0" fontId="2" fillId="22" borderId="22" xfId="0" applyFont="1" applyFill="1" applyBorder="1" applyAlignment="1" applyProtection="1">
      <alignment horizontal="center" wrapText="1"/>
      <protection locked="0"/>
    </xf>
    <xf numFmtId="2" fontId="0" fillId="0" borderId="40" xfId="0" applyNumberFormat="1" applyBorder="1"/>
    <xf numFmtId="2" fontId="0" fillId="0" borderId="18" xfId="0" applyNumberFormat="1" applyBorder="1"/>
    <xf numFmtId="2" fontId="0" fillId="0" borderId="11" xfId="0" applyNumberFormat="1" applyBorder="1"/>
    <xf numFmtId="2" fontId="0" fillId="0" borderId="20" xfId="0" applyNumberFormat="1" applyBorder="1"/>
    <xf numFmtId="2" fontId="0" fillId="0" borderId="16" xfId="0" applyNumberFormat="1" applyBorder="1"/>
    <xf numFmtId="2" fontId="0" fillId="0" borderId="12" xfId="0" applyNumberFormat="1" applyBorder="1"/>
    <xf numFmtId="2" fontId="2" fillId="39" borderId="1" xfId="0" applyNumberFormat="1" applyFont="1" applyFill="1" applyBorder="1" applyAlignment="1">
      <alignment horizontal="center"/>
    </xf>
    <xf numFmtId="0" fontId="2" fillId="22" borderId="44" xfId="0" applyFont="1" applyFill="1" applyBorder="1" applyAlignment="1" applyProtection="1">
      <alignment horizontal="center" wrapText="1"/>
      <protection locked="0"/>
    </xf>
    <xf numFmtId="0" fontId="2" fillId="22" borderId="7" xfId="0" applyFont="1" applyFill="1" applyBorder="1" applyAlignment="1" applyProtection="1">
      <alignment horizontal="center" wrapText="1"/>
      <protection locked="0"/>
    </xf>
    <xf numFmtId="0" fontId="2" fillId="22" borderId="68" xfId="0" applyFont="1" applyFill="1" applyBorder="1" applyAlignment="1" applyProtection="1">
      <alignment horizontal="center" wrapText="1"/>
      <protection locked="0"/>
    </xf>
    <xf numFmtId="0" fontId="0" fillId="0" borderId="17" xfId="0" applyBorder="1"/>
    <xf numFmtId="0" fontId="2" fillId="22" borderId="6" xfId="0" applyFont="1" applyFill="1" applyBorder="1" applyAlignment="1">
      <alignment horizontal="center" wrapText="1"/>
    </xf>
    <xf numFmtId="2" fontId="0" fillId="0" borderId="26" xfId="0" applyNumberFormat="1" applyBorder="1"/>
    <xf numFmtId="0" fontId="2" fillId="22" borderId="40" xfId="0" applyFont="1" applyFill="1" applyBorder="1" applyAlignment="1">
      <alignment horizontal="center" wrapText="1"/>
    </xf>
    <xf numFmtId="2" fontId="0" fillId="0" borderId="27" xfId="0" applyNumberFormat="1" applyBorder="1"/>
    <xf numFmtId="2" fontId="2" fillId="39" borderId="21" xfId="0" applyNumberFormat="1" applyFont="1" applyFill="1" applyBorder="1" applyAlignment="1">
      <alignment horizontal="center"/>
    </xf>
    <xf numFmtId="2" fontId="2" fillId="39" borderId="64" xfId="0" applyNumberFormat="1" applyFont="1" applyFill="1" applyBorder="1" applyAlignment="1">
      <alignment horizontal="center"/>
    </xf>
    <xf numFmtId="2" fontId="2" fillId="39" borderId="64" xfId="0" applyNumberFormat="1" applyFont="1" applyFill="1" applyBorder="1" applyAlignment="1">
      <alignment horizontal="center" wrapText="1"/>
    </xf>
    <xf numFmtId="2" fontId="2" fillId="39" borderId="25" xfId="0" applyNumberFormat="1" applyFont="1" applyFill="1" applyBorder="1" applyAlignment="1">
      <alignment horizontal="center" wrapText="1"/>
    </xf>
    <xf numFmtId="0" fontId="0" fillId="0" borderId="34" xfId="0" applyBorder="1"/>
    <xf numFmtId="0" fontId="2" fillId="0" borderId="34" xfId="0" applyFont="1" applyBorder="1"/>
    <xf numFmtId="0" fontId="0" fillId="0" borderId="21" xfId="0" applyBorder="1"/>
    <xf numFmtId="164" fontId="0" fillId="0" borderId="25" xfId="0" applyNumberFormat="1" applyBorder="1" applyAlignment="1">
      <alignment horizontal="right"/>
    </xf>
    <xf numFmtId="164" fontId="0" fillId="0" borderId="26" xfId="0" applyNumberFormat="1" applyBorder="1" applyAlignment="1">
      <alignment horizontal="right"/>
    </xf>
    <xf numFmtId="0" fontId="0" fillId="0" borderId="42" xfId="0" applyBorder="1"/>
    <xf numFmtId="0" fontId="0" fillId="0" borderId="21" xfId="0" applyBorder="1" applyAlignment="1">
      <alignment horizontal="left" indent="2"/>
    </xf>
    <xf numFmtId="0" fontId="0" fillId="0" borderId="5" xfId="0" applyBorder="1" applyAlignment="1">
      <alignment horizontal="left" indent="2"/>
    </xf>
    <xf numFmtId="167" fontId="0" fillId="0" borderId="26" xfId="0" applyNumberFormat="1" applyBorder="1"/>
    <xf numFmtId="2" fontId="0" fillId="0" borderId="25" xfId="0" applyNumberFormat="1" applyBorder="1" applyAlignment="1">
      <alignment horizontal="right"/>
    </xf>
    <xf numFmtId="0" fontId="0" fillId="0" borderId="26" xfId="0" applyBorder="1" applyAlignment="1">
      <alignment horizontal="center"/>
    </xf>
    <xf numFmtId="2" fontId="0" fillId="0" borderId="26" xfId="0" applyNumberFormat="1" applyBorder="1" applyAlignment="1">
      <alignment horizontal="center"/>
    </xf>
    <xf numFmtId="0" fontId="0" fillId="0" borderId="19" xfId="0" applyBorder="1"/>
    <xf numFmtId="0" fontId="0" fillId="0" borderId="2" xfId="0" applyBorder="1"/>
    <xf numFmtId="0" fontId="0" fillId="0" borderId="35" xfId="0" applyBorder="1"/>
    <xf numFmtId="0" fontId="52" fillId="22" borderId="74" xfId="0" applyFont="1" applyFill="1" applyBorder="1" applyAlignment="1" applyProtection="1">
      <alignment horizontal="right" wrapText="1"/>
      <protection locked="0"/>
    </xf>
    <xf numFmtId="0" fontId="52" fillId="0" borderId="4" xfId="0" applyFont="1" applyBorder="1"/>
    <xf numFmtId="0" fontId="52" fillId="22" borderId="5" xfId="0" applyFont="1" applyFill="1" applyBorder="1" applyAlignment="1" applyProtection="1">
      <alignment horizontal="right" wrapText="1"/>
      <protection locked="0"/>
    </xf>
    <xf numFmtId="0" fontId="52" fillId="0" borderId="6" xfId="0" applyFont="1" applyBorder="1"/>
    <xf numFmtId="0" fontId="52" fillId="22" borderId="42" xfId="0" applyFont="1" applyFill="1" applyBorder="1" applyAlignment="1" applyProtection="1">
      <alignment horizontal="right" wrapText="1"/>
      <protection locked="0"/>
    </xf>
    <xf numFmtId="0" fontId="52" fillId="0" borderId="31" xfId="0" applyFont="1" applyBorder="1"/>
    <xf numFmtId="0" fontId="50" fillId="0" borderId="15" xfId="0" applyFont="1" applyBorder="1"/>
    <xf numFmtId="2" fontId="0" fillId="0" borderId="33" xfId="0" applyNumberFormat="1" applyBorder="1" applyAlignment="1">
      <alignment horizontal="center" wrapText="1"/>
    </xf>
    <xf numFmtId="2" fontId="2" fillId="39" borderId="34" xfId="0" applyNumberFormat="1" applyFont="1" applyFill="1" applyBorder="1" applyAlignment="1">
      <alignment horizontal="center" wrapText="1"/>
    </xf>
    <xf numFmtId="2" fontId="2" fillId="39" borderId="2" xfId="0" applyNumberFormat="1" applyFont="1" applyFill="1" applyBorder="1" applyAlignment="1">
      <alignment horizontal="center" wrapText="1"/>
    </xf>
    <xf numFmtId="2" fontId="2" fillId="39" borderId="35" xfId="0" applyNumberFormat="1" applyFont="1" applyFill="1" applyBorder="1" applyAlignment="1">
      <alignment horizontal="center" wrapText="1"/>
    </xf>
    <xf numFmtId="2" fontId="2" fillId="39" borderId="20" xfId="0" applyNumberFormat="1" applyFont="1" applyFill="1" applyBorder="1" applyAlignment="1">
      <alignment horizontal="center"/>
    </xf>
    <xf numFmtId="2" fontId="0" fillId="0" borderId="29" xfId="0" applyNumberFormat="1" applyBorder="1"/>
    <xf numFmtId="2" fontId="0" fillId="0" borderId="19" xfId="0" applyNumberFormat="1" applyBorder="1"/>
    <xf numFmtId="2" fontId="0" fillId="0" borderId="17" xfId="0" applyNumberFormat="1" applyBorder="1"/>
    <xf numFmtId="2" fontId="52" fillId="0" borderId="0" xfId="0" applyNumberFormat="1" applyFont="1"/>
    <xf numFmtId="0" fontId="52" fillId="0" borderId="0" xfId="0" applyFont="1"/>
    <xf numFmtId="1" fontId="0" fillId="25" borderId="8" xfId="1" applyNumberFormat="1" applyFont="1" applyFill="1" applyBorder="1" applyAlignment="1">
      <alignment horizontal="center" vertical="center"/>
    </xf>
    <xf numFmtId="0" fontId="0" fillId="0" borderId="12" xfId="0" applyBorder="1" applyAlignment="1">
      <alignment vertical="center"/>
    </xf>
    <xf numFmtId="1" fontId="0" fillId="25" borderId="1" xfId="1" applyNumberFormat="1" applyFont="1" applyFill="1" applyBorder="1" applyAlignment="1">
      <alignment horizontal="center" vertical="center"/>
    </xf>
    <xf numFmtId="1" fontId="0" fillId="25" borderId="14" xfId="0" applyNumberFormat="1" applyFill="1" applyBorder="1" applyAlignment="1">
      <alignment horizontal="center" vertical="center"/>
    </xf>
    <xf numFmtId="0" fontId="0" fillId="10" borderId="1" xfId="0" applyFill="1" applyBorder="1" applyAlignment="1">
      <alignment horizontal="center" vertical="center" wrapText="1"/>
    </xf>
    <xf numFmtId="173" fontId="42" fillId="31" borderId="6" xfId="0" applyNumberFormat="1" applyFont="1" applyFill="1" applyBorder="1" applyAlignment="1">
      <alignment horizontal="center"/>
    </xf>
    <xf numFmtId="174" fontId="0" fillId="0" borderId="26" xfId="0" applyNumberFormat="1" applyBorder="1" applyAlignment="1">
      <alignment horizontal="right"/>
    </xf>
    <xf numFmtId="175" fontId="0" fillId="0" borderId="26" xfId="0" applyNumberFormat="1" applyBorder="1" applyAlignment="1">
      <alignment horizontal="right"/>
    </xf>
    <xf numFmtId="10" fontId="0" fillId="31" borderId="1" xfId="1" applyNumberFormat="1" applyFont="1" applyFill="1" applyBorder="1" applyAlignment="1">
      <alignment horizontal="center" vertical="center"/>
    </xf>
    <xf numFmtId="10" fontId="0" fillId="25" borderId="16" xfId="1" applyNumberFormat="1" applyFont="1" applyFill="1" applyBorder="1" applyProtection="1"/>
    <xf numFmtId="1" fontId="20" fillId="0" borderId="0" xfId="0" applyNumberFormat="1" applyFont="1"/>
    <xf numFmtId="0" fontId="20" fillId="0" borderId="6" xfId="0" applyFont="1" applyBorder="1"/>
    <xf numFmtId="0" fontId="0" fillId="3" borderId="6" xfId="0" applyFill="1" applyBorder="1" applyAlignment="1">
      <alignment horizontal="left" vertical="center"/>
    </xf>
    <xf numFmtId="0" fontId="0" fillId="0" borderId="6" xfId="0" applyBorder="1" applyAlignment="1">
      <alignment horizontal="left" vertical="center" wrapText="1"/>
    </xf>
    <xf numFmtId="0" fontId="0" fillId="20" borderId="6" xfId="0" applyFill="1" applyBorder="1" applyAlignment="1">
      <alignment horizontal="left" vertical="center"/>
    </xf>
    <xf numFmtId="0" fontId="0" fillId="35" borderId="6" xfId="0" applyFill="1" applyBorder="1" applyAlignment="1">
      <alignment horizontal="left" vertical="center"/>
    </xf>
    <xf numFmtId="0" fontId="0" fillId="0" borderId="47" xfId="0" applyBorder="1"/>
    <xf numFmtId="164" fontId="42" fillId="13" borderId="0" xfId="0" applyNumberFormat="1" applyFont="1" applyFill="1" applyAlignment="1">
      <alignment horizontal="center"/>
    </xf>
    <xf numFmtId="164" fontId="42" fillId="34" borderId="0" xfId="0" applyNumberFormat="1" applyFont="1" applyFill="1" applyAlignment="1">
      <alignment horizontal="center"/>
    </xf>
    <xf numFmtId="0" fontId="2" fillId="3" borderId="0" xfId="0" applyFont="1" applyFill="1"/>
    <xf numFmtId="172" fontId="42" fillId="34" borderId="0" xfId="0" applyNumberFormat="1" applyFont="1" applyFill="1" applyAlignment="1">
      <alignment horizontal="center"/>
    </xf>
    <xf numFmtId="172" fontId="53" fillId="34" borderId="0" xfId="0" applyNumberFormat="1" applyFont="1" applyFill="1" applyAlignment="1">
      <alignment horizontal="center"/>
    </xf>
    <xf numFmtId="0" fontId="0" fillId="3" borderId="0" xfId="0" quotePrefix="1" applyFill="1"/>
    <xf numFmtId="0" fontId="0" fillId="31" borderId="6" xfId="0" applyFill="1" applyBorder="1"/>
    <xf numFmtId="0" fontId="2" fillId="22" borderId="74" xfId="0" applyFont="1" applyFill="1" applyBorder="1" applyAlignment="1" applyProtection="1">
      <alignment horizontal="center" wrapText="1"/>
      <protection locked="0"/>
    </xf>
    <xf numFmtId="0" fontId="2" fillId="22" borderId="4" xfId="0" applyFont="1" applyFill="1" applyBorder="1" applyAlignment="1">
      <alignment horizontal="center" wrapText="1"/>
    </xf>
    <xf numFmtId="2" fontId="0" fillId="0" borderId="30" xfId="0" applyNumberFormat="1" applyBorder="1"/>
    <xf numFmtId="2" fontId="2" fillId="39" borderId="22" xfId="0" applyNumberFormat="1" applyFont="1" applyFill="1" applyBorder="1" applyAlignment="1">
      <alignment horizontal="center"/>
    </xf>
    <xf numFmtId="2" fontId="2" fillId="39" borderId="40" xfId="0" applyNumberFormat="1" applyFont="1" applyFill="1" applyBorder="1" applyAlignment="1">
      <alignment horizontal="center"/>
    </xf>
    <xf numFmtId="2" fontId="2" fillId="39" borderId="40" xfId="0" applyNumberFormat="1" applyFont="1" applyFill="1" applyBorder="1" applyAlignment="1">
      <alignment horizontal="center" wrapText="1"/>
    </xf>
    <xf numFmtId="2" fontId="2" fillId="39" borderId="27" xfId="0" applyNumberFormat="1" applyFont="1" applyFill="1" applyBorder="1" applyAlignment="1">
      <alignment horizontal="center" wrapText="1"/>
    </xf>
    <xf numFmtId="164" fontId="42" fillId="13" borderId="6" xfId="0" applyNumberFormat="1" applyFont="1" applyFill="1" applyBorder="1" applyAlignment="1">
      <alignment horizontal="center"/>
    </xf>
    <xf numFmtId="167" fontId="42" fillId="31" borderId="6" xfId="2" applyNumberFormat="1" applyFont="1" applyFill="1" applyBorder="1" applyAlignment="1">
      <alignment horizontal="center" vertical="center"/>
    </xf>
    <xf numFmtId="0" fontId="14" fillId="0" borderId="0" xfId="0" applyFont="1" applyAlignment="1">
      <alignment horizontal="justify" vertical="center"/>
    </xf>
    <xf numFmtId="1" fontId="2" fillId="18" borderId="6" xfId="0" applyNumberFormat="1" applyFont="1" applyFill="1" applyBorder="1" applyAlignment="1" applyProtection="1">
      <alignment horizontal="center"/>
      <protection locked="0"/>
    </xf>
    <xf numFmtId="0" fontId="0" fillId="26" borderId="29" xfId="0" applyFill="1" applyBorder="1"/>
    <xf numFmtId="0" fontId="19" fillId="26" borderId="28" xfId="0" applyFont="1" applyFill="1" applyBorder="1" applyAlignment="1">
      <alignment vertical="center"/>
    </xf>
    <xf numFmtId="0" fontId="0" fillId="26" borderId="10" xfId="0" applyFill="1" applyBorder="1"/>
    <xf numFmtId="0" fontId="0" fillId="26" borderId="20" xfId="0" applyFill="1" applyBorder="1"/>
    <xf numFmtId="0" fontId="0" fillId="26" borderId="12" xfId="0" applyFill="1" applyBorder="1"/>
    <xf numFmtId="0" fontId="0" fillId="18" borderId="4" xfId="0" applyFill="1" applyBorder="1" applyProtection="1">
      <protection locked="0"/>
    </xf>
    <xf numFmtId="0" fontId="21" fillId="22" borderId="6" xfId="0" applyFont="1" applyFill="1" applyBorder="1" applyAlignment="1" applyProtection="1">
      <alignment wrapText="1"/>
      <protection locked="0"/>
    </xf>
    <xf numFmtId="0" fontId="21" fillId="22" borderId="40" xfId="0" applyFont="1" applyFill="1" applyBorder="1" applyAlignment="1" applyProtection="1">
      <alignment wrapText="1"/>
      <protection locked="0"/>
    </xf>
    <xf numFmtId="0" fontId="21" fillId="22" borderId="40" xfId="0" applyFont="1" applyFill="1" applyBorder="1" applyAlignment="1">
      <alignment horizontal="right"/>
    </xf>
    <xf numFmtId="0" fontId="0" fillId="18" borderId="6" xfId="0" applyFill="1" applyBorder="1" applyAlignment="1">
      <alignment wrapText="1"/>
    </xf>
    <xf numFmtId="0" fontId="0" fillId="18" borderId="23" xfId="0" applyFill="1" applyBorder="1" applyAlignment="1">
      <alignment wrapText="1"/>
    </xf>
    <xf numFmtId="0" fontId="0" fillId="18" borderId="4" xfId="0" applyFill="1" applyBorder="1" applyAlignment="1">
      <alignment wrapText="1"/>
    </xf>
    <xf numFmtId="0" fontId="0" fillId="18" borderId="6" xfId="0" applyFill="1" applyBorder="1" applyAlignment="1" applyProtection="1">
      <alignment vertical="center" wrapText="1"/>
      <protection locked="0"/>
    </xf>
    <xf numFmtId="164" fontId="30" fillId="0" borderId="0" xfId="0" applyNumberFormat="1" applyFont="1" applyProtection="1">
      <protection locked="0"/>
    </xf>
    <xf numFmtId="9" fontId="13" fillId="0" borderId="0" xfId="1" applyFont="1" applyProtection="1">
      <protection locked="0"/>
    </xf>
    <xf numFmtId="9" fontId="17" fillId="29" borderId="44" xfId="1" applyFont="1" applyFill="1" applyBorder="1" applyProtection="1">
      <protection locked="0"/>
    </xf>
    <xf numFmtId="9" fontId="13" fillId="29" borderId="52" xfId="1" applyFont="1" applyFill="1" applyBorder="1" applyProtection="1">
      <protection locked="0"/>
    </xf>
    <xf numFmtId="9" fontId="17" fillId="29" borderId="53" xfId="1" applyFont="1" applyFill="1" applyBorder="1" applyProtection="1">
      <protection locked="0"/>
    </xf>
    <xf numFmtId="9" fontId="17" fillId="0" borderId="0" xfId="1" applyFont="1" applyProtection="1">
      <protection locked="0"/>
    </xf>
    <xf numFmtId="9" fontId="0" fillId="0" borderId="0" xfId="1" applyFont="1" applyProtection="1">
      <protection locked="0"/>
    </xf>
    <xf numFmtId="2" fontId="52" fillId="0" borderId="4" xfId="0" applyNumberFormat="1" applyFont="1" applyBorder="1"/>
    <xf numFmtId="0" fontId="0" fillId="0" borderId="12" xfId="0" applyBorder="1"/>
    <xf numFmtId="2" fontId="52" fillId="0" borderId="30" xfId="0" applyNumberFormat="1" applyFont="1" applyBorder="1"/>
    <xf numFmtId="0" fontId="52" fillId="22" borderId="22" xfId="0" applyFont="1" applyFill="1" applyBorder="1" applyAlignment="1" applyProtection="1">
      <alignment horizontal="right" wrapText="1"/>
      <protection locked="0"/>
    </xf>
    <xf numFmtId="2" fontId="52" fillId="0" borderId="77" xfId="0" applyNumberFormat="1" applyFont="1" applyBorder="1"/>
    <xf numFmtId="2" fontId="52" fillId="0" borderId="75" xfId="0" applyNumberFormat="1" applyFont="1" applyBorder="1"/>
    <xf numFmtId="0" fontId="0" fillId="22" borderId="34" xfId="0" applyFill="1" applyBorder="1"/>
    <xf numFmtId="0" fontId="0" fillId="22" borderId="2" xfId="0" applyFill="1" applyBorder="1"/>
    <xf numFmtId="0" fontId="0" fillId="22" borderId="35" xfId="0" applyFill="1" applyBorder="1"/>
    <xf numFmtId="0" fontId="20" fillId="22" borderId="0" xfId="0" applyFont="1" applyFill="1" applyProtection="1">
      <protection locked="0"/>
    </xf>
    <xf numFmtId="1" fontId="2" fillId="18" borderId="6" xfId="0" applyNumberFormat="1" applyFont="1" applyFill="1" applyBorder="1" applyAlignment="1" applyProtection="1">
      <alignment horizontal="left" wrapText="1"/>
      <protection locked="0"/>
    </xf>
    <xf numFmtId="0" fontId="17" fillId="29" borderId="52" xfId="0" applyFont="1" applyFill="1" applyBorder="1" applyProtection="1">
      <protection locked="0"/>
    </xf>
    <xf numFmtId="0" fontId="17" fillId="0" borderId="26" xfId="0" applyFont="1" applyBorder="1" applyProtection="1">
      <protection locked="0"/>
    </xf>
    <xf numFmtId="1" fontId="44" fillId="0" borderId="15" xfId="0" applyNumberFormat="1" applyFont="1" applyBorder="1" applyProtection="1">
      <protection locked="0"/>
    </xf>
    <xf numFmtId="0" fontId="2" fillId="0" borderId="11" xfId="0" applyFont="1" applyBorder="1" applyProtection="1">
      <protection locked="0"/>
    </xf>
    <xf numFmtId="0" fontId="33" fillId="0" borderId="0" xfId="0" applyFont="1" applyAlignment="1">
      <alignment horizontal="center"/>
    </xf>
    <xf numFmtId="164" fontId="2" fillId="0" borderId="10" xfId="0" applyNumberFormat="1" applyFont="1" applyBorder="1" applyProtection="1">
      <protection locked="0"/>
    </xf>
    <xf numFmtId="164" fontId="2" fillId="0" borderId="15" xfId="0" applyNumberFormat="1" applyFont="1" applyBorder="1" applyProtection="1">
      <protection locked="0"/>
    </xf>
    <xf numFmtId="164" fontId="47" fillId="0" borderId="15" xfId="0" applyNumberFormat="1" applyFont="1" applyBorder="1"/>
    <xf numFmtId="0" fontId="17" fillId="29" borderId="20" xfId="0" applyFont="1" applyFill="1" applyBorder="1" applyProtection="1">
      <protection locked="0"/>
    </xf>
    <xf numFmtId="0" fontId="17" fillId="29" borderId="16" xfId="0" applyFont="1" applyFill="1" applyBorder="1" applyProtection="1">
      <protection locked="0"/>
    </xf>
    <xf numFmtId="0" fontId="17" fillId="29" borderId="12" xfId="0" applyFont="1" applyFill="1" applyBorder="1" applyProtection="1">
      <protection locked="0"/>
    </xf>
    <xf numFmtId="0" fontId="0" fillId="0" borderId="60" xfId="0" applyBorder="1" applyProtection="1">
      <protection locked="0"/>
    </xf>
    <xf numFmtId="2" fontId="2" fillId="39" borderId="0" xfId="0" applyNumberFormat="1" applyFont="1" applyFill="1" applyAlignment="1">
      <alignment horizontal="center" wrapText="1"/>
    </xf>
    <xf numFmtId="1" fontId="2" fillId="18" borderId="6" xfId="0" applyNumberFormat="1" applyFont="1" applyFill="1" applyBorder="1" applyAlignment="1" applyProtection="1">
      <alignment horizontal="center" vertical="center"/>
      <protection locked="0"/>
    </xf>
    <xf numFmtId="0" fontId="0" fillId="23" borderId="0" xfId="0" applyFill="1" applyAlignment="1">
      <alignment wrapText="1"/>
    </xf>
    <xf numFmtId="0" fontId="0" fillId="27" borderId="6" xfId="0" applyFill="1" applyBorder="1" applyAlignment="1">
      <alignment horizontal="left" indent="1"/>
    </xf>
    <xf numFmtId="0" fontId="2" fillId="22" borderId="0" xfId="0" applyFont="1" applyFill="1" applyAlignment="1" applyProtection="1">
      <alignment horizontal="center" wrapText="1"/>
      <protection locked="0"/>
    </xf>
    <xf numFmtId="0" fontId="0" fillId="6" borderId="0" xfId="0" applyFill="1"/>
    <xf numFmtId="44" fontId="0" fillId="0" borderId="0" xfId="0" applyNumberFormat="1"/>
    <xf numFmtId="0" fontId="46" fillId="0" borderId="24" xfId="0" applyFont="1" applyBorder="1" applyAlignment="1" applyProtection="1">
      <alignment horizontal="center" wrapText="1"/>
      <protection locked="0"/>
    </xf>
    <xf numFmtId="0" fontId="0" fillId="6" borderId="8" xfId="0" applyFill="1" applyBorder="1"/>
    <xf numFmtId="2" fontId="0" fillId="0" borderId="13" xfId="0" applyNumberFormat="1" applyBorder="1"/>
    <xf numFmtId="0" fontId="0" fillId="6" borderId="13" xfId="0" applyFill="1" applyBorder="1"/>
    <xf numFmtId="44" fontId="0" fillId="0" borderId="14" xfId="0" applyNumberFormat="1" applyBorder="1"/>
    <xf numFmtId="0" fontId="0" fillId="29" borderId="80" xfId="0" applyFill="1" applyBorder="1"/>
    <xf numFmtId="0" fontId="0" fillId="0" borderId="41" xfId="0" applyBorder="1"/>
    <xf numFmtId="0" fontId="0" fillId="0" borderId="21" xfId="0" applyBorder="1" applyAlignment="1">
      <alignment wrapText="1"/>
    </xf>
    <xf numFmtId="2" fontId="0" fillId="0" borderId="26" xfId="0" applyNumberFormat="1" applyBorder="1" applyAlignment="1">
      <alignment horizontal="right"/>
    </xf>
    <xf numFmtId="167" fontId="42" fillId="0" borderId="0" xfId="0" applyNumberFormat="1" applyFont="1" applyAlignment="1">
      <alignment horizontal="center"/>
    </xf>
    <xf numFmtId="0" fontId="0" fillId="0" borderId="32" xfId="0" applyBorder="1"/>
    <xf numFmtId="0" fontId="0" fillId="3" borderId="6" xfId="0" applyFill="1" applyBorder="1"/>
    <xf numFmtId="0" fontId="39" fillId="7" borderId="0" xfId="0" applyFont="1" applyFill="1" applyAlignment="1">
      <alignment wrapText="1"/>
    </xf>
    <xf numFmtId="0" fontId="0" fillId="0" borderId="24" xfId="0" applyBorder="1"/>
    <xf numFmtId="0" fontId="17" fillId="0" borderId="19" xfId="0" applyFont="1" applyBorder="1"/>
    <xf numFmtId="2" fontId="56" fillId="0" borderId="0" xfId="0" applyNumberFormat="1" applyFont="1" applyAlignment="1" applyProtection="1">
      <alignment horizontal="center" vertical="center" wrapText="1"/>
      <protection locked="0"/>
    </xf>
    <xf numFmtId="2" fontId="57" fillId="0" borderId="0" xfId="0" applyNumberFormat="1" applyFont="1" applyProtection="1">
      <protection locked="0"/>
    </xf>
    <xf numFmtId="168" fontId="52" fillId="0" borderId="67" xfId="0" applyNumberFormat="1" applyFont="1" applyBorder="1"/>
    <xf numFmtId="0" fontId="0" fillId="0" borderId="23" xfId="0" applyBorder="1" applyProtection="1">
      <protection locked="0"/>
    </xf>
    <xf numFmtId="0" fontId="48" fillId="0" borderId="81" xfId="0" applyFont="1" applyBorder="1" applyProtection="1">
      <protection locked="0"/>
    </xf>
    <xf numFmtId="0" fontId="2" fillId="22" borderId="31" xfId="0" applyFont="1" applyFill="1" applyBorder="1" applyAlignment="1" applyProtection="1">
      <alignment horizontal="right" wrapText="1"/>
      <protection locked="0"/>
    </xf>
    <xf numFmtId="1" fontId="0" fillId="0" borderId="43" xfId="0" applyNumberFormat="1" applyBorder="1" applyProtection="1">
      <protection locked="0"/>
    </xf>
    <xf numFmtId="0" fontId="0" fillId="9" borderId="40" xfId="0" quotePrefix="1" applyFill="1" applyBorder="1" applyAlignment="1" applyProtection="1">
      <alignment horizontal="center" vertical="center"/>
      <protection locked="0"/>
    </xf>
    <xf numFmtId="0" fontId="0" fillId="0" borderId="31" xfId="0" applyBorder="1" applyAlignment="1" applyProtection="1">
      <alignment wrapText="1"/>
      <protection locked="0"/>
    </xf>
    <xf numFmtId="0" fontId="0" fillId="26" borderId="15" xfId="0" applyFill="1" applyBorder="1"/>
    <xf numFmtId="0" fontId="0" fillId="0" borderId="0" xfId="0" applyAlignment="1" applyProtection="1">
      <alignment vertical="center" wrapText="1"/>
      <protection locked="0"/>
    </xf>
    <xf numFmtId="0" fontId="0" fillId="0" borderId="24" xfId="0" applyBorder="1" applyProtection="1">
      <protection locked="0"/>
    </xf>
    <xf numFmtId="0" fontId="0" fillId="0" borderId="37" xfId="0" applyBorder="1" applyProtection="1">
      <protection locked="0"/>
    </xf>
    <xf numFmtId="0" fontId="21" fillId="0" borderId="0" xfId="0" applyFont="1" applyAlignment="1">
      <alignment vertical="top" wrapText="1"/>
    </xf>
    <xf numFmtId="0" fontId="0" fillId="42" borderId="0" xfId="0" applyFill="1"/>
    <xf numFmtId="0" fontId="14" fillId="0" borderId="24" xfId="0" applyFont="1" applyBorder="1" applyAlignment="1">
      <alignment vertical="center"/>
    </xf>
    <xf numFmtId="0" fontId="0" fillId="0" borderId="23" xfId="0" applyBorder="1" applyAlignment="1" applyProtection="1">
      <alignment wrapText="1"/>
      <protection locked="0"/>
    </xf>
    <xf numFmtId="0" fontId="14" fillId="0" borderId="24" xfId="0" applyFont="1" applyBorder="1" applyAlignment="1">
      <alignment horizontal="justify" vertical="center"/>
    </xf>
    <xf numFmtId="164" fontId="23" fillId="22" borderId="0" xfId="0" applyNumberFormat="1" applyFont="1" applyFill="1"/>
    <xf numFmtId="0" fontId="0" fillId="0" borderId="0" xfId="0" applyAlignment="1">
      <alignment vertical="center"/>
    </xf>
    <xf numFmtId="0" fontId="17" fillId="0" borderId="15" xfId="0" applyFont="1" applyBorder="1" applyProtection="1">
      <protection locked="0"/>
    </xf>
    <xf numFmtId="164" fontId="0" fillId="15" borderId="33" xfId="0" applyNumberFormat="1" applyFill="1" applyBorder="1"/>
    <xf numFmtId="0" fontId="0" fillId="15" borderId="65" xfId="0" applyFill="1" applyBorder="1" applyAlignment="1">
      <alignment horizontal="center"/>
    </xf>
    <xf numFmtId="0" fontId="2" fillId="18" borderId="31" xfId="0" applyFont="1" applyFill="1" applyBorder="1" applyAlignment="1" applyProtection="1">
      <alignment wrapText="1"/>
      <protection locked="0"/>
    </xf>
    <xf numFmtId="0" fontId="0" fillId="0" borderId="31" xfId="0" applyBorder="1" applyProtection="1">
      <protection locked="0"/>
    </xf>
    <xf numFmtId="1" fontId="2" fillId="18" borderId="24" xfId="0" applyNumberFormat="1" applyFont="1" applyFill="1" applyBorder="1" applyAlignment="1" applyProtection="1">
      <alignment horizontal="center"/>
      <protection locked="0"/>
    </xf>
    <xf numFmtId="0" fontId="0" fillId="22" borderId="4" xfId="0" applyFill="1" applyBorder="1" applyAlignment="1" applyProtection="1">
      <alignment horizontal="right" wrapText="1"/>
      <protection locked="0"/>
    </xf>
    <xf numFmtId="0" fontId="0" fillId="0" borderId="4" xfId="0" applyBorder="1" applyProtection="1">
      <protection locked="0"/>
    </xf>
    <xf numFmtId="1" fontId="2" fillId="9" borderId="15" xfId="0" applyNumberFormat="1" applyFont="1" applyFill="1" applyBorder="1" applyAlignment="1" applyProtection="1">
      <alignment horizontal="center"/>
      <protection locked="0"/>
    </xf>
    <xf numFmtId="0" fontId="21" fillId="22" borderId="82" xfId="0" applyFont="1" applyFill="1" applyBorder="1" applyAlignment="1" applyProtection="1">
      <alignment vertical="center" wrapText="1"/>
      <protection locked="0"/>
    </xf>
    <xf numFmtId="0" fontId="0" fillId="0" borderId="36" xfId="0" applyBorder="1" applyProtection="1">
      <protection locked="0"/>
    </xf>
    <xf numFmtId="0" fontId="23" fillId="0" borderId="49" xfId="0" applyFont="1" applyBorder="1" applyProtection="1">
      <protection locked="0"/>
    </xf>
    <xf numFmtId="0" fontId="23" fillId="0" borderId="23" xfId="0" applyFont="1" applyBorder="1" applyProtection="1">
      <protection locked="0"/>
    </xf>
    <xf numFmtId="0" fontId="23" fillId="0" borderId="49" xfId="0" applyFont="1" applyBorder="1" applyAlignment="1" applyProtection="1">
      <alignment wrapText="1"/>
      <protection locked="0"/>
    </xf>
    <xf numFmtId="0" fontId="0" fillId="0" borderId="14" xfId="0" applyBorder="1" applyAlignment="1">
      <alignment horizontal="center" vertical="center"/>
    </xf>
    <xf numFmtId="9" fontId="23" fillId="22" borderId="0" xfId="0" applyNumberFormat="1" applyFont="1" applyFill="1"/>
    <xf numFmtId="1" fontId="0" fillId="0" borderId="23" xfId="0" applyNumberFormat="1" applyBorder="1" applyAlignment="1" applyProtection="1">
      <alignment vertical="center"/>
      <protection locked="0"/>
    </xf>
    <xf numFmtId="0" fontId="0" fillId="18" borderId="4" xfId="0" applyFill="1" applyBorder="1" applyAlignment="1" applyProtection="1">
      <alignment vertical="center"/>
      <protection locked="0"/>
    </xf>
    <xf numFmtId="0" fontId="23" fillId="33" borderId="83" xfId="0" applyFont="1" applyFill="1" applyBorder="1" applyAlignment="1" applyProtection="1">
      <alignment horizontal="left" vertical="center"/>
      <protection locked="0"/>
    </xf>
    <xf numFmtId="0" fontId="0" fillId="28" borderId="84" xfId="0" applyFill="1" applyBorder="1" applyProtection="1">
      <protection locked="0"/>
    </xf>
    <xf numFmtId="0" fontId="0" fillId="0" borderId="85" xfId="0" applyBorder="1"/>
    <xf numFmtId="0" fontId="0" fillId="28" borderId="85" xfId="0" applyFill="1" applyBorder="1" applyProtection="1">
      <protection locked="0"/>
    </xf>
    <xf numFmtId="0" fontId="0" fillId="0" borderId="86" xfId="0" applyBorder="1"/>
    <xf numFmtId="2" fontId="0" fillId="14" borderId="0" xfId="0" applyNumberFormat="1" applyFill="1"/>
    <xf numFmtId="0" fontId="14" fillId="0" borderId="48" xfId="0" applyFont="1" applyBorder="1" applyAlignment="1">
      <alignment horizontal="justify" vertical="center"/>
    </xf>
    <xf numFmtId="164" fontId="0" fillId="0" borderId="30" xfId="0" applyNumberFormat="1" applyBorder="1" applyAlignment="1">
      <alignment horizontal="right"/>
    </xf>
    <xf numFmtId="164" fontId="0" fillId="0" borderId="6" xfId="0" applyNumberFormat="1" applyBorder="1" applyAlignment="1">
      <alignment horizontal="right"/>
    </xf>
    <xf numFmtId="0" fontId="19" fillId="26" borderId="16" xfId="0" applyFont="1" applyFill="1" applyBorder="1" applyAlignment="1">
      <alignment horizontal="left" vertical="center" wrapText="1"/>
    </xf>
    <xf numFmtId="0" fontId="0" fillId="18" borderId="40" xfId="0" applyFill="1" applyBorder="1" applyAlignment="1" applyProtection="1">
      <alignment vertical="center"/>
      <protection locked="0"/>
    </xf>
    <xf numFmtId="167" fontId="0" fillId="0" borderId="26" xfId="0" applyNumberFormat="1" applyBorder="1" applyAlignment="1">
      <alignment horizontal="center"/>
    </xf>
    <xf numFmtId="164" fontId="49" fillId="0" borderId="15" xfId="0" applyNumberFormat="1" applyFont="1" applyBorder="1"/>
    <xf numFmtId="0" fontId="24" fillId="22" borderId="31" xfId="0" applyFont="1" applyFill="1" applyBorder="1" applyAlignment="1" applyProtection="1">
      <alignment horizontal="right"/>
      <protection locked="0"/>
    </xf>
    <xf numFmtId="0" fontId="2" fillId="21" borderId="29" xfId="0" applyFont="1" applyFill="1" applyBorder="1"/>
    <xf numFmtId="0" fontId="2" fillId="21" borderId="28" xfId="0" applyFont="1" applyFill="1" applyBorder="1"/>
    <xf numFmtId="0" fontId="2" fillId="21" borderId="78" xfId="0" applyFont="1" applyFill="1" applyBorder="1"/>
    <xf numFmtId="0" fontId="0" fillId="21" borderId="29" xfId="0" applyFill="1" applyBorder="1"/>
    <xf numFmtId="0" fontId="19" fillId="21" borderId="28" xfId="0" applyFont="1" applyFill="1" applyBorder="1" applyAlignment="1">
      <alignment horizontal="left" vertical="center" wrapText="1"/>
    </xf>
    <xf numFmtId="0" fontId="0" fillId="21" borderId="10" xfId="0" applyFill="1" applyBorder="1"/>
    <xf numFmtId="164" fontId="24" fillId="0" borderId="18" xfId="0" applyNumberFormat="1" applyFont="1" applyBorder="1"/>
    <xf numFmtId="0" fontId="13" fillId="29" borderId="37" xfId="0" applyFont="1" applyFill="1" applyBorder="1" applyProtection="1">
      <protection locked="0"/>
    </xf>
    <xf numFmtId="0" fontId="0" fillId="0" borderId="4" xfId="0" applyBorder="1" applyAlignment="1" applyProtection="1">
      <alignment wrapText="1"/>
      <protection locked="0"/>
    </xf>
    <xf numFmtId="0" fontId="17" fillId="29" borderId="15" xfId="0" applyFont="1" applyFill="1" applyBorder="1" applyProtection="1">
      <protection locked="0"/>
    </xf>
    <xf numFmtId="164" fontId="0" fillId="0" borderId="23" xfId="0" applyNumberFormat="1" applyBorder="1" applyProtection="1">
      <protection locked="0"/>
    </xf>
    <xf numFmtId="0" fontId="0" fillId="22" borderId="24" xfId="0" applyFill="1" applyBorder="1" applyProtection="1">
      <protection locked="0"/>
    </xf>
    <xf numFmtId="0" fontId="0" fillId="22" borderId="37" xfId="0" applyFill="1" applyBorder="1" applyProtection="1">
      <protection locked="0"/>
    </xf>
    <xf numFmtId="0" fontId="0" fillId="23" borderId="1" xfId="0" applyFill="1" applyBorder="1" applyAlignment="1">
      <alignment wrapText="1"/>
    </xf>
    <xf numFmtId="0" fontId="39" fillId="27" borderId="0" xfId="0" applyFont="1" applyFill="1" applyAlignment="1">
      <alignment wrapText="1"/>
    </xf>
    <xf numFmtId="2" fontId="20" fillId="31" borderId="5" xfId="0" applyNumberFormat="1" applyFont="1" applyFill="1" applyBorder="1"/>
    <xf numFmtId="0" fontId="66" fillId="18" borderId="14" xfId="0" applyFont="1" applyFill="1" applyBorder="1" applyAlignment="1">
      <alignment vertical="center" wrapText="1"/>
    </xf>
    <xf numFmtId="166" fontId="20" fillId="31" borderId="26" xfId="0" applyNumberFormat="1" applyFont="1" applyFill="1" applyBorder="1"/>
    <xf numFmtId="166" fontId="0" fillId="0" borderId="0" xfId="0" applyNumberFormat="1"/>
    <xf numFmtId="0" fontId="0" fillId="9" borderId="14" xfId="0" applyFill="1" applyBorder="1" applyAlignment="1">
      <alignment vertical="center" wrapText="1"/>
    </xf>
    <xf numFmtId="164" fontId="0" fillId="31" borderId="14" xfId="0" applyNumberFormat="1" applyFill="1" applyBorder="1" applyAlignment="1">
      <alignment horizontal="center" vertical="center"/>
    </xf>
    <xf numFmtId="2" fontId="0" fillId="10" borderId="1" xfId="0" applyNumberFormat="1" applyFill="1" applyBorder="1" applyAlignment="1">
      <alignment horizontal="center" vertical="center" wrapText="1"/>
    </xf>
    <xf numFmtId="0" fontId="0" fillId="22" borderId="90" xfId="0" applyFill="1" applyBorder="1"/>
    <xf numFmtId="164" fontId="0" fillId="22" borderId="91" xfId="0" applyNumberFormat="1" applyFill="1" applyBorder="1" applyAlignment="1">
      <alignment horizontal="right"/>
    </xf>
    <xf numFmtId="10" fontId="0" fillId="22" borderId="91" xfId="0" applyNumberFormat="1" applyFill="1" applyBorder="1" applyAlignment="1">
      <alignment horizontal="right"/>
    </xf>
    <xf numFmtId="170" fontId="0" fillId="22" borderId="91" xfId="0" applyNumberFormat="1" applyFill="1" applyBorder="1"/>
    <xf numFmtId="0" fontId="41" fillId="22" borderId="90" xfId="0" applyFont="1" applyFill="1" applyBorder="1"/>
    <xf numFmtId="10" fontId="41" fillId="0" borderId="91" xfId="0" applyNumberFormat="1" applyFont="1" applyBorder="1"/>
    <xf numFmtId="2" fontId="51" fillId="29" borderId="20" xfId="0" applyNumberFormat="1" applyFont="1" applyFill="1" applyBorder="1"/>
    <xf numFmtId="2" fontId="51" fillId="29" borderId="16" xfId="0" applyNumberFormat="1" applyFont="1" applyFill="1" applyBorder="1"/>
    <xf numFmtId="2" fontId="51" fillId="29" borderId="12" xfId="0" applyNumberFormat="1" applyFont="1" applyFill="1" applyBorder="1"/>
    <xf numFmtId="0" fontId="67" fillId="29" borderId="1" xfId="0" applyFont="1" applyFill="1" applyBorder="1" applyAlignment="1">
      <alignment horizontal="center" vertical="center" wrapText="1"/>
    </xf>
    <xf numFmtId="0" fontId="67" fillId="29" borderId="12" xfId="0" applyFont="1" applyFill="1" applyBorder="1" applyAlignment="1">
      <alignment horizontal="center" vertical="center" wrapText="1"/>
    </xf>
    <xf numFmtId="0" fontId="67" fillId="29" borderId="21" xfId="0" applyFont="1" applyFill="1" applyBorder="1" applyAlignment="1">
      <alignment vertical="center" wrapText="1"/>
    </xf>
    <xf numFmtId="0" fontId="67" fillId="29" borderId="25" xfId="0" applyFont="1" applyFill="1" applyBorder="1" applyAlignment="1">
      <alignment vertical="center" wrapText="1"/>
    </xf>
    <xf numFmtId="0" fontId="51" fillId="29" borderId="1" xfId="0" applyFont="1" applyFill="1" applyBorder="1"/>
    <xf numFmtId="0" fontId="19" fillId="26" borderId="96" xfId="0" applyFont="1" applyFill="1" applyBorder="1" applyAlignment="1">
      <alignment horizontal="left" vertical="center" wrapText="1"/>
    </xf>
    <xf numFmtId="164" fontId="24" fillId="24" borderId="98" xfId="0" applyNumberFormat="1" applyFont="1" applyFill="1" applyBorder="1"/>
    <xf numFmtId="0" fontId="0" fillId="22" borderId="97" xfId="0" applyFill="1" applyBorder="1" applyProtection="1">
      <protection locked="0"/>
    </xf>
    <xf numFmtId="9" fontId="23" fillId="0" borderId="0" xfId="0" applyNumberFormat="1" applyFont="1"/>
    <xf numFmtId="9" fontId="23" fillId="13" borderId="99" xfId="0" applyNumberFormat="1" applyFont="1" applyFill="1" applyBorder="1"/>
    <xf numFmtId="0" fontId="21" fillId="33" borderId="100" xfId="0" applyFont="1" applyFill="1" applyBorder="1" applyProtection="1">
      <protection locked="0"/>
    </xf>
    <xf numFmtId="0" fontId="0" fillId="26" borderId="101" xfId="0" applyFill="1" applyBorder="1"/>
    <xf numFmtId="0" fontId="13" fillId="0" borderId="104" xfId="0" applyFont="1" applyBorder="1" applyProtection="1">
      <protection locked="0"/>
    </xf>
    <xf numFmtId="0" fontId="17" fillId="29" borderId="66" xfId="0" applyFont="1" applyFill="1" applyBorder="1" applyProtection="1">
      <protection locked="0"/>
    </xf>
    <xf numFmtId="0" fontId="17" fillId="0" borderId="97" xfId="0" applyFont="1" applyBorder="1" applyProtection="1">
      <protection locked="0"/>
    </xf>
    <xf numFmtId="2" fontId="0" fillId="15" borderId="24" xfId="0" applyNumberFormat="1" applyFill="1" applyBorder="1" applyProtection="1">
      <protection locked="0"/>
    </xf>
    <xf numFmtId="2" fontId="0" fillId="22" borderId="97" xfId="0" applyNumberFormat="1" applyFill="1" applyBorder="1" applyProtection="1">
      <protection locked="0"/>
    </xf>
    <xf numFmtId="164" fontId="25" fillId="13" borderId="23" xfId="0" applyNumberFormat="1" applyFont="1" applyFill="1" applyBorder="1"/>
    <xf numFmtId="164" fontId="25" fillId="0" borderId="97" xfId="0" applyNumberFormat="1" applyFont="1" applyBorder="1"/>
    <xf numFmtId="164" fontId="23" fillId="13" borderId="23" xfId="0" applyNumberFormat="1" applyFont="1" applyFill="1" applyBorder="1"/>
    <xf numFmtId="164" fontId="23" fillId="0" borderId="97" xfId="0" applyNumberFormat="1" applyFont="1" applyBorder="1"/>
    <xf numFmtId="164" fontId="23" fillId="13" borderId="106" xfId="0" applyNumberFormat="1" applyFont="1" applyFill="1" applyBorder="1"/>
    <xf numFmtId="0" fontId="2" fillId="0" borderId="103" xfId="0" applyFont="1" applyBorder="1" applyProtection="1">
      <protection locked="0"/>
    </xf>
    <xf numFmtId="0" fontId="0" fillId="0" borderId="103" xfId="0" applyBorder="1" applyProtection="1">
      <protection locked="0"/>
    </xf>
    <xf numFmtId="0" fontId="0" fillId="0" borderId="107" xfId="0" applyBorder="1" applyProtection="1">
      <protection locked="0"/>
    </xf>
    <xf numFmtId="0" fontId="0" fillId="33" borderId="108" xfId="0" applyFill="1" applyBorder="1" applyProtection="1">
      <protection locked="0"/>
    </xf>
    <xf numFmtId="0" fontId="0" fillId="24" borderId="109" xfId="0" applyFill="1" applyBorder="1" applyProtection="1">
      <protection locked="0"/>
    </xf>
    <xf numFmtId="2" fontId="0" fillId="0" borderId="97" xfId="0" applyNumberFormat="1" applyBorder="1" applyProtection="1">
      <protection locked="0"/>
    </xf>
    <xf numFmtId="2" fontId="0" fillId="15" borderId="110" xfId="0" applyNumberFormat="1" applyFill="1" applyBorder="1" applyProtection="1">
      <protection locked="0"/>
    </xf>
    <xf numFmtId="164" fontId="25" fillId="13" borderId="110" xfId="0" applyNumberFormat="1" applyFont="1" applyFill="1" applyBorder="1"/>
    <xf numFmtId="164" fontId="23" fillId="13" borderId="110" xfId="0" applyNumberFormat="1" applyFont="1" applyFill="1" applyBorder="1"/>
    <xf numFmtId="0" fontId="0" fillId="15" borderId="110" xfId="0" applyFill="1" applyBorder="1" applyAlignment="1">
      <alignment horizontal="center" vertical="center"/>
    </xf>
    <xf numFmtId="164" fontId="24" fillId="13" borderId="49" xfId="0" applyNumberFormat="1" applyFont="1" applyFill="1" applyBorder="1"/>
    <xf numFmtId="164" fontId="24" fillId="0" borderId="97" xfId="0" applyNumberFormat="1" applyFont="1" applyBorder="1"/>
    <xf numFmtId="164" fontId="23" fillId="22" borderId="97" xfId="0" applyNumberFormat="1" applyFont="1" applyFill="1" applyBorder="1"/>
    <xf numFmtId="164" fontId="0" fillId="15" borderId="110" xfId="0" applyNumberFormat="1" applyFill="1" applyBorder="1" applyProtection="1">
      <protection locked="0"/>
    </xf>
    <xf numFmtId="164" fontId="0" fillId="15" borderId="49" xfId="0" applyNumberFormat="1" applyFill="1" applyBorder="1" applyProtection="1">
      <protection locked="0"/>
    </xf>
    <xf numFmtId="0" fontId="0" fillId="0" borderId="97" xfId="0" applyBorder="1" applyProtection="1">
      <protection locked="0"/>
    </xf>
    <xf numFmtId="164" fontId="23" fillId="13" borderId="70" xfId="0" applyNumberFormat="1" applyFont="1" applyFill="1" applyBorder="1"/>
    <xf numFmtId="164" fontId="23" fillId="13" borderId="49" xfId="0" applyNumberFormat="1" applyFont="1" applyFill="1" applyBorder="1"/>
    <xf numFmtId="0" fontId="2" fillId="0" borderId="111" xfId="0" applyFont="1" applyBorder="1" applyProtection="1">
      <protection locked="0"/>
    </xf>
    <xf numFmtId="0" fontId="17" fillId="29" borderId="112" xfId="0" applyFont="1" applyFill="1" applyBorder="1" applyProtection="1">
      <protection locked="0"/>
    </xf>
    <xf numFmtId="0" fontId="13" fillId="22" borderId="0" xfId="0" applyFont="1" applyFill="1" applyProtection="1">
      <protection locked="0"/>
    </xf>
    <xf numFmtId="0" fontId="13" fillId="22" borderId="0" xfId="0" applyFont="1" applyFill="1"/>
    <xf numFmtId="0" fontId="17" fillId="29" borderId="115" xfId="0" applyFont="1" applyFill="1" applyBorder="1" applyProtection="1">
      <protection locked="0"/>
    </xf>
    <xf numFmtId="0" fontId="0" fillId="15" borderId="117" xfId="0" applyFill="1" applyBorder="1" applyAlignment="1">
      <alignment horizontal="center" vertical="center"/>
    </xf>
    <xf numFmtId="164" fontId="25" fillId="13" borderId="118" xfId="0" applyNumberFormat="1" applyFont="1" applyFill="1" applyBorder="1"/>
    <xf numFmtId="0" fontId="0" fillId="0" borderId="116" xfId="0" applyBorder="1" applyProtection="1">
      <protection locked="0"/>
    </xf>
    <xf numFmtId="164" fontId="23" fillId="13" borderId="118" xfId="0" applyNumberFormat="1" applyFont="1" applyFill="1" applyBorder="1"/>
    <xf numFmtId="0" fontId="0" fillId="0" borderId="119" xfId="0" applyBorder="1" applyProtection="1">
      <protection locked="0"/>
    </xf>
    <xf numFmtId="0" fontId="23" fillId="0" borderId="120" xfId="0" applyFont="1" applyBorder="1" applyProtection="1">
      <protection locked="0"/>
    </xf>
    <xf numFmtId="169" fontId="25" fillId="13" borderId="121" xfId="0" applyNumberFormat="1" applyFont="1" applyFill="1" applyBorder="1"/>
    <xf numFmtId="0" fontId="17" fillId="29" borderId="113" xfId="0" applyFont="1" applyFill="1" applyBorder="1" applyProtection="1">
      <protection locked="0"/>
    </xf>
    <xf numFmtId="0" fontId="13" fillId="29" borderId="114" xfId="0" applyFont="1" applyFill="1" applyBorder="1" applyProtection="1">
      <protection locked="0"/>
    </xf>
    <xf numFmtId="0" fontId="2" fillId="0" borderId="116" xfId="0" applyFont="1" applyBorder="1" applyProtection="1">
      <protection locked="0"/>
    </xf>
    <xf numFmtId="0" fontId="0" fillId="15" borderId="118" xfId="0" applyFill="1" applyBorder="1" applyAlignment="1">
      <alignment horizontal="center" vertical="center"/>
    </xf>
    <xf numFmtId="164" fontId="0" fillId="15" borderId="118" xfId="0" applyNumberFormat="1" applyFill="1" applyBorder="1" applyProtection="1">
      <protection locked="0"/>
    </xf>
    <xf numFmtId="164" fontId="23" fillId="13" borderId="121" xfId="0" applyNumberFormat="1" applyFont="1" applyFill="1" applyBorder="1"/>
    <xf numFmtId="0" fontId="0" fillId="15" borderId="118" xfId="0" applyFill="1" applyBorder="1" applyAlignment="1">
      <alignment horizontal="center"/>
    </xf>
    <xf numFmtId="0" fontId="0" fillId="26" borderId="122" xfId="0" applyFill="1" applyBorder="1"/>
    <xf numFmtId="0" fontId="19" fillId="26" borderId="123" xfId="0" applyFont="1" applyFill="1" applyBorder="1" applyAlignment="1">
      <alignment horizontal="left" vertical="center" wrapText="1"/>
    </xf>
    <xf numFmtId="0" fontId="0" fillId="26" borderId="124" xfId="0" applyFill="1" applyBorder="1"/>
    <xf numFmtId="164" fontId="23" fillId="13" borderId="125" xfId="0" applyNumberFormat="1" applyFont="1" applyFill="1" applyBorder="1"/>
    <xf numFmtId="0" fontId="17" fillId="29" borderId="115" xfId="0" applyFont="1" applyFill="1" applyBorder="1" applyAlignment="1" applyProtection="1">
      <alignment horizontal="center"/>
      <protection locked="0"/>
    </xf>
    <xf numFmtId="0" fontId="0" fillId="15" borderId="126" xfId="0" applyFill="1" applyBorder="1" applyAlignment="1">
      <alignment horizontal="center" vertical="center"/>
    </xf>
    <xf numFmtId="2" fontId="58" fillId="0" borderId="127" xfId="0" applyNumberFormat="1" applyFont="1" applyBorder="1" applyAlignment="1" applyProtection="1">
      <alignment horizontal="center" vertical="center" wrapText="1"/>
      <protection locked="0"/>
    </xf>
    <xf numFmtId="0" fontId="57" fillId="0" borderId="116" xfId="0" applyFont="1" applyBorder="1" applyAlignment="1">
      <alignment horizontal="center"/>
    </xf>
    <xf numFmtId="2" fontId="0" fillId="15" borderId="118" xfId="0" applyNumberFormat="1" applyFill="1" applyBorder="1" applyProtection="1">
      <protection locked="0"/>
    </xf>
    <xf numFmtId="2" fontId="0" fillId="15" borderId="126" xfId="0" applyNumberFormat="1" applyFill="1" applyBorder="1" applyProtection="1">
      <protection locked="0"/>
    </xf>
    <xf numFmtId="0" fontId="59" fillId="0" borderId="116" xfId="0" applyFont="1" applyBorder="1" applyAlignment="1">
      <alignment horizontal="center"/>
    </xf>
    <xf numFmtId="2" fontId="0" fillId="43" borderId="118" xfId="0" applyNumberFormat="1" applyFill="1" applyBorder="1"/>
    <xf numFmtId="2" fontId="0" fillId="43" borderId="117" xfId="0" applyNumberFormat="1" applyFill="1" applyBorder="1"/>
    <xf numFmtId="2" fontId="0" fillId="43" borderId="129" xfId="0" applyNumberFormat="1" applyFill="1" applyBorder="1"/>
    <xf numFmtId="2" fontId="0" fillId="43" borderId="130" xfId="0" applyNumberFormat="1" applyFill="1" applyBorder="1"/>
    <xf numFmtId="0" fontId="0" fillId="0" borderId="131" xfId="0" applyBorder="1" applyProtection="1">
      <protection locked="0"/>
    </xf>
    <xf numFmtId="0" fontId="0" fillId="0" borderId="133" xfId="0" applyBorder="1" applyProtection="1">
      <protection locked="0"/>
    </xf>
    <xf numFmtId="2" fontId="0" fillId="15" borderId="130" xfId="0" applyNumberFormat="1" applyFill="1" applyBorder="1" applyProtection="1">
      <protection locked="0"/>
    </xf>
    <xf numFmtId="0" fontId="2" fillId="0" borderId="119" xfId="0" applyFont="1" applyBorder="1" applyProtection="1">
      <protection locked="0"/>
    </xf>
    <xf numFmtId="0" fontId="0" fillId="18" borderId="134" xfId="0" applyFill="1" applyBorder="1" applyAlignment="1" applyProtection="1">
      <alignment horizontal="left" vertical="center"/>
      <protection locked="0"/>
    </xf>
    <xf numFmtId="0" fontId="0" fillId="20" borderId="0" xfId="0" applyFill="1" applyProtection="1">
      <protection locked="0"/>
    </xf>
    <xf numFmtId="0" fontId="2" fillId="20" borderId="19" xfId="0" applyFont="1" applyFill="1" applyBorder="1" applyProtection="1">
      <protection locked="0"/>
    </xf>
    <xf numFmtId="0" fontId="0" fillId="0" borderId="137" xfId="0" applyBorder="1" applyProtection="1">
      <protection locked="0"/>
    </xf>
    <xf numFmtId="0" fontId="23" fillId="0" borderId="138" xfId="0" applyFont="1" applyBorder="1" applyProtection="1">
      <protection locked="0"/>
    </xf>
    <xf numFmtId="0" fontId="13" fillId="0" borderId="139" xfId="0" applyFont="1" applyBorder="1" applyProtection="1">
      <protection locked="0"/>
    </xf>
    <xf numFmtId="0" fontId="13" fillId="22" borderId="139" xfId="0" applyFont="1" applyFill="1" applyBorder="1" applyProtection="1">
      <protection locked="0"/>
    </xf>
    <xf numFmtId="0" fontId="21" fillId="0" borderId="0" xfId="0" applyFont="1" applyProtection="1">
      <protection locked="0"/>
    </xf>
    <xf numFmtId="0" fontId="0" fillId="0" borderId="141" xfId="0" applyBorder="1" applyProtection="1">
      <protection locked="0"/>
    </xf>
    <xf numFmtId="0" fontId="22" fillId="29" borderId="48" xfId="0" applyFont="1" applyFill="1" applyBorder="1" applyProtection="1">
      <protection locked="0"/>
    </xf>
    <xf numFmtId="164" fontId="23" fillId="44" borderId="143" xfId="0" applyNumberFormat="1" applyFont="1" applyFill="1" applyBorder="1"/>
    <xf numFmtId="0" fontId="17" fillId="29" borderId="144" xfId="0" applyFont="1" applyFill="1" applyBorder="1" applyProtection="1">
      <protection locked="0"/>
    </xf>
    <xf numFmtId="0" fontId="0" fillId="15" borderId="145" xfId="0" applyFill="1" applyBorder="1" applyAlignment="1">
      <alignment horizontal="center" vertical="center"/>
    </xf>
    <xf numFmtId="164" fontId="25" fillId="13" borderId="146" xfId="0" applyNumberFormat="1" applyFont="1" applyFill="1" applyBorder="1"/>
    <xf numFmtId="164" fontId="23" fillId="13" borderId="146" xfId="0" applyNumberFormat="1" applyFont="1" applyFill="1" applyBorder="1"/>
    <xf numFmtId="169" fontId="25" fillId="13" borderId="147" xfId="0" applyNumberFormat="1" applyFont="1" applyFill="1" applyBorder="1"/>
    <xf numFmtId="0" fontId="0" fillId="44" borderId="142" xfId="0" applyFill="1" applyBorder="1" applyProtection="1">
      <protection locked="0"/>
    </xf>
    <xf numFmtId="169" fontId="25" fillId="45" borderId="0" xfId="0" applyNumberFormat="1" applyFont="1" applyFill="1"/>
    <xf numFmtId="169" fontId="25" fillId="0" borderId="148" xfId="0" applyNumberFormat="1" applyFont="1" applyBorder="1"/>
    <xf numFmtId="0" fontId="17" fillId="29" borderId="114" xfId="0" applyFont="1" applyFill="1" applyBorder="1" applyProtection="1">
      <protection locked="0"/>
    </xf>
    <xf numFmtId="0" fontId="0" fillId="45" borderId="123" xfId="0" applyFill="1" applyBorder="1" applyProtection="1">
      <protection locked="0"/>
    </xf>
    <xf numFmtId="0" fontId="69" fillId="45" borderId="0" xfId="0" applyFont="1" applyFill="1" applyAlignment="1" applyProtection="1">
      <alignment horizontal="center" vertical="center"/>
      <protection locked="0"/>
    </xf>
    <xf numFmtId="0" fontId="70" fillId="44" borderId="142" xfId="0" applyFont="1" applyFill="1" applyBorder="1" applyAlignment="1" applyProtection="1">
      <alignment horizontal="center" vertical="center"/>
      <protection locked="0"/>
    </xf>
    <xf numFmtId="2" fontId="0" fillId="46" borderId="15" xfId="0" applyNumberFormat="1" applyFill="1" applyBorder="1" applyProtection="1">
      <protection locked="0"/>
    </xf>
    <xf numFmtId="0" fontId="0" fillId="46" borderId="16" xfId="0" applyFill="1" applyBorder="1" applyProtection="1">
      <protection locked="0"/>
    </xf>
    <xf numFmtId="0" fontId="70" fillId="46" borderId="0" xfId="0" applyFont="1" applyFill="1" applyAlignment="1">
      <alignment horizontal="center" vertical="center"/>
    </xf>
    <xf numFmtId="0" fontId="70" fillId="24" borderId="0" xfId="0" applyFont="1" applyFill="1" applyAlignment="1" applyProtection="1">
      <alignment horizontal="center" vertical="center"/>
      <protection locked="0"/>
    </xf>
    <xf numFmtId="2" fontId="2" fillId="47" borderId="79" xfId="0" applyNumberFormat="1" applyFont="1" applyFill="1" applyBorder="1" applyAlignment="1" applyProtection="1">
      <alignment horizontal="center" vertical="center" wrapText="1"/>
      <protection locked="0"/>
    </xf>
    <xf numFmtId="2" fontId="2" fillId="47" borderId="128" xfId="0" applyNumberFormat="1" applyFont="1" applyFill="1" applyBorder="1" applyAlignment="1" applyProtection="1">
      <alignment horizontal="center" vertical="center" wrapText="1"/>
      <protection locked="0"/>
    </xf>
    <xf numFmtId="0" fontId="2" fillId="19" borderId="64" xfId="0" applyFont="1" applyFill="1" applyBorder="1" applyAlignment="1" applyProtection="1">
      <alignment horizontal="center"/>
      <protection locked="0"/>
    </xf>
    <xf numFmtId="0" fontId="2" fillId="19" borderId="132" xfId="0" applyFont="1" applyFill="1" applyBorder="1" applyAlignment="1" applyProtection="1">
      <alignment horizontal="center"/>
      <protection locked="0"/>
    </xf>
    <xf numFmtId="0" fontId="2" fillId="48" borderId="64" xfId="0" applyFont="1" applyFill="1" applyBorder="1" applyAlignment="1" applyProtection="1">
      <alignment horizontal="center" wrapText="1"/>
      <protection locked="0"/>
    </xf>
    <xf numFmtId="0" fontId="2" fillId="48" borderId="132" xfId="0" applyFont="1" applyFill="1" applyBorder="1" applyAlignment="1" applyProtection="1">
      <alignment horizontal="center" wrapText="1"/>
      <protection locked="0"/>
    </xf>
    <xf numFmtId="0" fontId="64" fillId="0" borderId="0" xfId="4" applyProtection="1">
      <protection locked="0"/>
    </xf>
    <xf numFmtId="0" fontId="64" fillId="0" borderId="0" xfId="4" applyBorder="1" applyProtection="1">
      <protection locked="0"/>
    </xf>
    <xf numFmtId="0" fontId="17" fillId="29" borderId="23" xfId="0" applyFont="1" applyFill="1" applyBorder="1" applyProtection="1">
      <protection locked="0"/>
    </xf>
    <xf numFmtId="0" fontId="17" fillId="29" borderId="87" xfId="0" applyFont="1" applyFill="1" applyBorder="1" applyProtection="1">
      <protection locked="0"/>
    </xf>
    <xf numFmtId="0" fontId="17" fillId="29" borderId="151" xfId="0" applyFont="1" applyFill="1" applyBorder="1" applyProtection="1">
      <protection locked="0"/>
    </xf>
    <xf numFmtId="0" fontId="17" fillId="29" borderId="5" xfId="0" applyFont="1" applyFill="1" applyBorder="1" applyProtection="1">
      <protection locked="0"/>
    </xf>
    <xf numFmtId="0" fontId="0" fillId="15" borderId="121" xfId="0" applyFill="1" applyBorder="1" applyAlignment="1">
      <alignment horizontal="center" vertical="center" wrapText="1"/>
    </xf>
    <xf numFmtId="0" fontId="0" fillId="6" borderId="42" xfId="0" applyFill="1" applyBorder="1"/>
    <xf numFmtId="44" fontId="0" fillId="6" borderId="33" xfId="0" applyNumberFormat="1" applyFill="1" applyBorder="1" applyAlignment="1">
      <alignment horizontal="left"/>
    </xf>
    <xf numFmtId="0" fontId="0" fillId="6" borderId="5" xfId="0" applyFill="1" applyBorder="1"/>
    <xf numFmtId="44" fontId="0" fillId="6" borderId="26" xfId="0" applyNumberFormat="1" applyFill="1" applyBorder="1" applyAlignment="1">
      <alignment horizontal="left"/>
    </xf>
    <xf numFmtId="6" fontId="0" fillId="6" borderId="33" xfId="0" applyNumberFormat="1" applyFill="1" applyBorder="1"/>
    <xf numFmtId="167" fontId="0" fillId="6" borderId="33" xfId="0" applyNumberFormat="1" applyFill="1" applyBorder="1"/>
    <xf numFmtId="172" fontId="0" fillId="6" borderId="26" xfId="0" applyNumberFormat="1" applyFill="1" applyBorder="1" applyAlignment="1">
      <alignment horizontal="right"/>
    </xf>
    <xf numFmtId="167" fontId="0" fillId="6" borderId="26" xfId="0" applyNumberFormat="1" applyFill="1" applyBorder="1" applyAlignment="1">
      <alignment horizontal="right"/>
    </xf>
    <xf numFmtId="168" fontId="0" fillId="6" borderId="26" xfId="0" applyNumberFormat="1" applyFill="1" applyBorder="1" applyAlignment="1">
      <alignment horizontal="right"/>
    </xf>
    <xf numFmtId="168" fontId="0" fillId="6" borderId="26" xfId="0" applyNumberFormat="1" applyFill="1" applyBorder="1"/>
    <xf numFmtId="0" fontId="0" fillId="6" borderId="88" xfId="0" applyFill="1" applyBorder="1"/>
    <xf numFmtId="167" fontId="0" fillId="6" borderId="89" xfId="0" applyNumberFormat="1" applyFill="1" applyBorder="1" applyAlignment="1">
      <alignment horizontal="left"/>
    </xf>
    <xf numFmtId="0" fontId="0" fillId="6" borderId="5" xfId="0" applyFill="1" applyBorder="1" applyAlignment="1">
      <alignment horizontal="left" indent="2"/>
    </xf>
    <xf numFmtId="167" fontId="0" fillId="6" borderId="26" xfId="0" applyNumberFormat="1" applyFill="1" applyBorder="1"/>
    <xf numFmtId="0" fontId="2" fillId="49" borderId="22" xfId="0" applyFont="1" applyFill="1" applyBorder="1"/>
    <xf numFmtId="44" fontId="2" fillId="49" borderId="27" xfId="0" applyNumberFormat="1" applyFont="1" applyFill="1" applyBorder="1" applyAlignment="1">
      <alignment horizontal="left"/>
    </xf>
    <xf numFmtId="0" fontId="2" fillId="50" borderId="34" xfId="0" applyFont="1" applyFill="1" applyBorder="1"/>
    <xf numFmtId="44" fontId="2" fillId="50" borderId="35" xfId="0" applyNumberFormat="1" applyFont="1" applyFill="1" applyBorder="1"/>
    <xf numFmtId="44" fontId="2" fillId="50" borderId="35" xfId="0" applyNumberFormat="1" applyFont="1" applyFill="1" applyBorder="1" applyAlignment="1">
      <alignment horizontal="left"/>
    </xf>
    <xf numFmtId="164" fontId="2" fillId="50" borderId="2" xfId="0" applyNumberFormat="1" applyFont="1" applyFill="1" applyBorder="1"/>
    <xf numFmtId="168" fontId="2" fillId="50" borderId="35" xfId="0" applyNumberFormat="1" applyFont="1" applyFill="1" applyBorder="1"/>
    <xf numFmtId="172" fontId="2" fillId="50" borderId="35" xfId="0" applyNumberFormat="1" applyFont="1" applyFill="1" applyBorder="1"/>
    <xf numFmtId="0" fontId="2" fillId="50" borderId="92" xfId="0" applyFont="1" applyFill="1" applyBorder="1"/>
    <xf numFmtId="167" fontId="2" fillId="50" borderId="93" xfId="0" applyNumberFormat="1" applyFont="1" applyFill="1" applyBorder="1"/>
    <xf numFmtId="0" fontId="2" fillId="50" borderId="34" xfId="0" applyFont="1" applyFill="1" applyBorder="1" applyAlignment="1">
      <alignment horizontal="left" indent="2"/>
    </xf>
    <xf numFmtId="44" fontId="2" fillId="50" borderId="35" xfId="2" applyFont="1" applyFill="1" applyBorder="1" applyAlignment="1">
      <alignment horizontal="left"/>
    </xf>
    <xf numFmtId="167" fontId="2" fillId="50" borderId="35" xfId="0" applyNumberFormat="1" applyFont="1" applyFill="1" applyBorder="1" applyAlignment="1">
      <alignment horizontal="right"/>
    </xf>
    <xf numFmtId="167" fontId="2" fillId="50" borderId="35" xfId="0" applyNumberFormat="1" applyFont="1" applyFill="1" applyBorder="1"/>
    <xf numFmtId="0" fontId="0" fillId="18" borderId="42" xfId="0" applyFill="1" applyBorder="1" applyAlignment="1">
      <alignment horizontal="left" indent="2"/>
    </xf>
    <xf numFmtId="164" fontId="0" fillId="18" borderId="33" xfId="0" applyNumberFormat="1" applyFill="1" applyBorder="1" applyAlignment="1">
      <alignment horizontal="right"/>
    </xf>
    <xf numFmtId="0" fontId="0" fillId="18" borderId="90" xfId="0" applyFill="1" applyBorder="1"/>
    <xf numFmtId="164" fontId="0" fillId="18" borderId="91" xfId="0" applyNumberFormat="1" applyFill="1" applyBorder="1" applyAlignment="1">
      <alignment horizontal="right"/>
    </xf>
    <xf numFmtId="0" fontId="0" fillId="18" borderId="42" xfId="0" applyFill="1" applyBorder="1"/>
    <xf numFmtId="0" fontId="0" fillId="51" borderId="5" xfId="0" applyFill="1" applyBorder="1"/>
    <xf numFmtId="172" fontId="0" fillId="51" borderId="26" xfId="0" applyNumberFormat="1" applyFill="1" applyBorder="1" applyAlignment="1">
      <alignment horizontal="right"/>
    </xf>
    <xf numFmtId="0" fontId="0" fillId="51" borderId="42" xfId="0" applyFill="1" applyBorder="1"/>
    <xf numFmtId="172" fontId="0" fillId="51" borderId="33" xfId="0" applyNumberFormat="1" applyFill="1" applyBorder="1" applyAlignment="1">
      <alignment horizontal="right"/>
    </xf>
    <xf numFmtId="0" fontId="0" fillId="18" borderId="5" xfId="0" applyFill="1" applyBorder="1"/>
    <xf numFmtId="164" fontId="0" fillId="18" borderId="26" xfId="0" applyNumberFormat="1" applyFill="1" applyBorder="1" applyAlignment="1">
      <alignment horizontal="right"/>
    </xf>
    <xf numFmtId="164" fontId="0" fillId="18" borderId="6" xfId="0" applyNumberFormat="1" applyFill="1" applyBorder="1" applyAlignment="1">
      <alignment horizontal="right"/>
    </xf>
    <xf numFmtId="167" fontId="0" fillId="51" borderId="26" xfId="0" applyNumberFormat="1" applyFill="1" applyBorder="1" applyAlignment="1">
      <alignment horizontal="right"/>
    </xf>
    <xf numFmtId="167" fontId="0" fillId="51" borderId="33" xfId="0" applyNumberFormat="1" applyFill="1" applyBorder="1" applyAlignment="1">
      <alignment horizontal="right"/>
    </xf>
    <xf numFmtId="0" fontId="0" fillId="18" borderId="21" xfId="0" applyFill="1" applyBorder="1"/>
    <xf numFmtId="164" fontId="0" fillId="18" borderId="25" xfId="0" applyNumberFormat="1" applyFill="1" applyBorder="1" applyAlignment="1">
      <alignment horizontal="right"/>
    </xf>
    <xf numFmtId="0" fontId="2" fillId="51" borderId="22" xfId="0" applyFont="1" applyFill="1" applyBorder="1"/>
    <xf numFmtId="44" fontId="2" fillId="51" borderId="27" xfId="0" applyNumberFormat="1" applyFont="1" applyFill="1" applyBorder="1" applyAlignment="1">
      <alignment horizontal="left"/>
    </xf>
    <xf numFmtId="0" fontId="2" fillId="51" borderId="42" xfId="0" applyFont="1" applyFill="1" applyBorder="1"/>
    <xf numFmtId="44" fontId="2" fillId="51" borderId="33" xfId="0" applyNumberFormat="1" applyFont="1" applyFill="1" applyBorder="1" applyAlignment="1">
      <alignment horizontal="left"/>
    </xf>
    <xf numFmtId="2" fontId="0" fillId="18" borderId="30" xfId="0" applyNumberFormat="1" applyFill="1" applyBorder="1" applyAlignment="1">
      <alignment horizontal="right"/>
    </xf>
    <xf numFmtId="2" fontId="0" fillId="18" borderId="26" xfId="0" applyNumberFormat="1" applyFill="1" applyBorder="1" applyAlignment="1">
      <alignment horizontal="right"/>
    </xf>
    <xf numFmtId="0" fontId="0" fillId="18" borderId="74" xfId="0" applyFill="1" applyBorder="1"/>
    <xf numFmtId="0" fontId="0" fillId="2" borderId="0" xfId="0" applyFill="1"/>
    <xf numFmtId="0" fontId="27" fillId="2" borderId="0" xfId="0" applyFont="1" applyFill="1"/>
    <xf numFmtId="0" fontId="0" fillId="22" borderId="6" xfId="0" applyFill="1" applyBorder="1"/>
    <xf numFmtId="0" fontId="0" fillId="2" borderId="0" xfId="0" applyFill="1" applyAlignment="1">
      <alignment horizontal="right"/>
    </xf>
    <xf numFmtId="0" fontId="21" fillId="18" borderId="4" xfId="0" applyFont="1" applyFill="1" applyBorder="1" applyAlignment="1">
      <alignment vertical="center" wrapText="1"/>
    </xf>
    <xf numFmtId="0" fontId="0" fillId="18" borderId="6" xfId="0" applyFill="1" applyBorder="1" applyAlignment="1">
      <alignment vertical="center" wrapText="1"/>
    </xf>
    <xf numFmtId="0" fontId="23" fillId="33" borderId="6" xfId="0" applyFont="1" applyFill="1" applyBorder="1" applyProtection="1">
      <protection locked="0"/>
    </xf>
    <xf numFmtId="170" fontId="0" fillId="0" borderId="26" xfId="1" applyNumberFormat="1" applyFont="1" applyBorder="1" applyAlignment="1">
      <alignment horizontal="right"/>
    </xf>
    <xf numFmtId="9" fontId="0" fillId="18" borderId="4" xfId="1" applyFont="1" applyFill="1" applyBorder="1" applyAlignment="1" applyProtection="1">
      <alignment vertical="center" wrapText="1"/>
      <protection locked="0"/>
    </xf>
    <xf numFmtId="0" fontId="17" fillId="29" borderId="78" xfId="0" applyFont="1" applyFill="1" applyBorder="1" applyProtection="1">
      <protection locked="0"/>
    </xf>
    <xf numFmtId="0" fontId="24" fillId="22" borderId="82" xfId="0" applyFont="1" applyFill="1" applyBorder="1" applyAlignment="1" applyProtection="1">
      <alignment horizontal="right"/>
      <protection locked="0"/>
    </xf>
    <xf numFmtId="0" fontId="0" fillId="34" borderId="39" xfId="0" applyFill="1" applyBorder="1"/>
    <xf numFmtId="164" fontId="49" fillId="0" borderId="11" xfId="0" applyNumberFormat="1" applyFont="1" applyBorder="1"/>
    <xf numFmtId="1" fontId="68" fillId="34" borderId="71" xfId="0" applyNumberFormat="1" applyFont="1" applyFill="1" applyBorder="1"/>
    <xf numFmtId="0" fontId="3" fillId="21" borderId="28" xfId="0" applyFont="1" applyFill="1" applyBorder="1" applyAlignment="1">
      <alignment vertical="center"/>
    </xf>
    <xf numFmtId="0" fontId="0" fillId="22" borderId="6" xfId="0" applyFill="1" applyBorder="1" applyAlignment="1" applyProtection="1">
      <alignment vertical="center"/>
      <protection locked="0"/>
    </xf>
    <xf numFmtId="0" fontId="73" fillId="29" borderId="16" xfId="0" applyFont="1" applyFill="1" applyBorder="1" applyAlignment="1" applyProtection="1">
      <alignment vertical="center"/>
      <protection locked="0"/>
    </xf>
    <xf numFmtId="0" fontId="17" fillId="29" borderId="23" xfId="0" applyFont="1" applyFill="1" applyBorder="1" applyAlignment="1" applyProtection="1">
      <alignment vertical="center"/>
      <protection locked="0"/>
    </xf>
    <xf numFmtId="0" fontId="17" fillId="29" borderId="151" xfId="0" applyFont="1" applyFill="1" applyBorder="1" applyAlignment="1" applyProtection="1">
      <alignment vertical="center"/>
      <protection locked="0"/>
    </xf>
    <xf numFmtId="0" fontId="0" fillId="0" borderId="0" xfId="0" applyAlignment="1" applyProtection="1">
      <alignment vertical="center"/>
      <protection locked="0"/>
    </xf>
    <xf numFmtId="0" fontId="0" fillId="0" borderId="23" xfId="0" applyBorder="1" applyAlignment="1" applyProtection="1">
      <alignment vertical="center"/>
      <protection locked="0"/>
    </xf>
    <xf numFmtId="0" fontId="30" fillId="0" borderId="0" xfId="0" applyFont="1" applyAlignment="1" applyProtection="1">
      <alignment wrapText="1"/>
      <protection locked="0"/>
    </xf>
    <xf numFmtId="164" fontId="30" fillId="0" borderId="0" xfId="0" applyNumberFormat="1" applyFont="1" applyAlignment="1" applyProtection="1">
      <alignment horizontal="center" vertical="center"/>
      <protection locked="0"/>
    </xf>
    <xf numFmtId="0" fontId="0" fillId="0" borderId="18" xfId="0" applyBorder="1" applyProtection="1">
      <protection locked="0"/>
    </xf>
    <xf numFmtId="0" fontId="13" fillId="29" borderId="0" xfId="0" applyFont="1" applyFill="1" applyProtection="1">
      <protection locked="0"/>
    </xf>
    <xf numFmtId="0" fontId="17" fillId="29" borderId="152" xfId="0" applyFont="1" applyFill="1" applyBorder="1" applyProtection="1">
      <protection locked="0"/>
    </xf>
    <xf numFmtId="0" fontId="17" fillId="29" borderId="153" xfId="0" applyFont="1" applyFill="1" applyBorder="1" applyProtection="1">
      <protection locked="0"/>
    </xf>
    <xf numFmtId="0" fontId="17" fillId="29" borderId="65" xfId="0" applyFont="1" applyFill="1" applyBorder="1" applyProtection="1">
      <protection locked="0"/>
    </xf>
    <xf numFmtId="0" fontId="17" fillId="29" borderId="154" xfId="0" applyFont="1" applyFill="1" applyBorder="1" applyProtection="1">
      <protection locked="0"/>
    </xf>
    <xf numFmtId="0" fontId="77" fillId="0" borderId="31" xfId="0" applyFont="1" applyBorder="1" applyAlignment="1" applyProtection="1">
      <alignment wrapText="1"/>
      <protection locked="0"/>
    </xf>
    <xf numFmtId="0" fontId="0" fillId="3" borderId="26" xfId="0" applyFill="1" applyBorder="1"/>
    <xf numFmtId="0" fontId="0" fillId="3" borderId="27" xfId="0" applyFill="1" applyBorder="1"/>
    <xf numFmtId="2" fontId="0" fillId="31" borderId="6" xfId="0" applyNumberFormat="1" applyFill="1" applyBorder="1"/>
    <xf numFmtId="2" fontId="0" fillId="31" borderId="8" xfId="0" applyNumberFormat="1" applyFill="1" applyBorder="1"/>
    <xf numFmtId="0" fontId="61" fillId="0" borderId="0" xfId="0" applyFont="1"/>
    <xf numFmtId="0" fontId="0" fillId="53" borderId="5" xfId="0" applyFill="1" applyBorder="1" applyAlignment="1" applyProtection="1">
      <alignment wrapText="1"/>
      <protection locked="0"/>
    </xf>
    <xf numFmtId="0" fontId="0" fillId="21" borderId="5" xfId="0" applyFill="1" applyBorder="1" applyAlignment="1" applyProtection="1">
      <alignment wrapText="1"/>
      <protection locked="0"/>
    </xf>
    <xf numFmtId="0" fontId="0" fillId="0" borderId="23" xfId="0" applyBorder="1"/>
    <xf numFmtId="0" fontId="78" fillId="0" borderId="6" xfId="0" applyFont="1" applyBorder="1" applyAlignment="1">
      <alignment vertical="top" wrapText="1"/>
    </xf>
    <xf numFmtId="0" fontId="78" fillId="0" borderId="6" xfId="0" applyFont="1" applyBorder="1" applyAlignment="1">
      <alignment horizontal="center" vertical="top" wrapText="1"/>
    </xf>
    <xf numFmtId="0" fontId="78" fillId="0" borderId="6" xfId="0" applyFont="1" applyBorder="1" applyAlignment="1">
      <alignment horizontal="justify" vertical="top" wrapText="1"/>
    </xf>
    <xf numFmtId="0" fontId="78" fillId="3" borderId="6" xfId="0" applyFont="1" applyFill="1" applyBorder="1" applyAlignment="1">
      <alignment vertical="top" wrapText="1"/>
    </xf>
    <xf numFmtId="0" fontId="0" fillId="51" borderId="6" xfId="0" applyFill="1" applyBorder="1" applyAlignment="1" applyProtection="1">
      <alignment wrapText="1"/>
      <protection locked="0"/>
    </xf>
    <xf numFmtId="0" fontId="0" fillId="54" borderId="6" xfId="0" applyFill="1" applyBorder="1" applyAlignment="1" applyProtection="1">
      <alignment wrapText="1"/>
      <protection locked="0"/>
    </xf>
    <xf numFmtId="0" fontId="0" fillId="17" borderId="6" xfId="0" applyFill="1" applyBorder="1" applyAlignment="1" applyProtection="1">
      <alignment wrapText="1"/>
      <protection locked="0"/>
    </xf>
    <xf numFmtId="0" fontId="0" fillId="49" borderId="6" xfId="0" applyFill="1" applyBorder="1" applyAlignment="1" applyProtection="1">
      <alignment vertical="top" wrapText="1"/>
      <protection locked="0"/>
    </xf>
    <xf numFmtId="0" fontId="0" fillId="12" borderId="6" xfId="0" applyFill="1" applyBorder="1" applyAlignment="1" applyProtection="1">
      <alignment wrapText="1"/>
      <protection locked="0"/>
    </xf>
    <xf numFmtId="0" fontId="79" fillId="0" borderId="6" xfId="3" applyFont="1" applyBorder="1"/>
    <xf numFmtId="0" fontId="79" fillId="0" borderId="6" xfId="3" applyFont="1" applyBorder="1" applyAlignment="1">
      <alignment horizontal="center"/>
    </xf>
    <xf numFmtId="0" fontId="0" fillId="25" borderId="6" xfId="0" applyFill="1" applyBorder="1" applyAlignment="1" applyProtection="1">
      <alignment wrapText="1"/>
      <protection locked="0"/>
    </xf>
    <xf numFmtId="0" fontId="80" fillId="0" borderId="6" xfId="0" applyFont="1" applyBorder="1"/>
    <xf numFmtId="0" fontId="80" fillId="0" borderId="6" xfId="0" applyFont="1" applyBorder="1" applyAlignment="1">
      <alignment horizontal="center"/>
    </xf>
    <xf numFmtId="0" fontId="0" fillId="5" borderId="6" xfId="0" applyFill="1" applyBorder="1"/>
    <xf numFmtId="0" fontId="0" fillId="45" borderId="6" xfId="0" applyFill="1" applyBorder="1"/>
    <xf numFmtId="21" fontId="0" fillId="5" borderId="6" xfId="0" applyNumberFormat="1" applyFill="1" applyBorder="1"/>
    <xf numFmtId="21" fontId="0" fillId="45" borderId="6" xfId="0" applyNumberFormat="1" applyFill="1" applyBorder="1"/>
    <xf numFmtId="0" fontId="0" fillId="41" borderId="6" xfId="0" applyFill="1" applyBorder="1"/>
    <xf numFmtId="0" fontId="0" fillId="17" borderId="0" xfId="0" applyFill="1" applyAlignment="1" applyProtection="1">
      <alignment vertical="center" wrapText="1"/>
      <protection locked="0"/>
    </xf>
    <xf numFmtId="0" fontId="39" fillId="0" borderId="6" xfId="0" applyFont="1" applyBorder="1" applyAlignment="1">
      <alignment horizontal="center" vertical="center" wrapText="1"/>
    </xf>
    <xf numFmtId="0" fontId="78" fillId="0" borderId="0" xfId="0" applyFont="1" applyAlignment="1">
      <alignment vertical="top" wrapText="1"/>
    </xf>
    <xf numFmtId="0" fontId="0" fillId="54" borderId="1" xfId="0" applyFill="1" applyBorder="1" applyAlignment="1">
      <alignment vertical="center"/>
    </xf>
    <xf numFmtId="0" fontId="0" fillId="54" borderId="0" xfId="0" applyFill="1"/>
    <xf numFmtId="0" fontId="0" fillId="5" borderId="6" xfId="0" applyFill="1" applyBorder="1" applyAlignment="1" applyProtection="1">
      <alignment wrapText="1"/>
      <protection locked="0"/>
    </xf>
    <xf numFmtId="0" fontId="0" fillId="33" borderId="6" xfId="0" applyFill="1" applyBorder="1" applyAlignment="1" applyProtection="1">
      <alignment horizontal="left" vertical="center" wrapText="1"/>
      <protection locked="0"/>
    </xf>
    <xf numFmtId="0" fontId="0" fillId="48" borderId="6" xfId="0" applyFill="1" applyBorder="1" applyAlignment="1" applyProtection="1">
      <alignment horizontal="left" vertical="center" wrapText="1"/>
      <protection locked="0"/>
    </xf>
    <xf numFmtId="0" fontId="17" fillId="29" borderId="49" xfId="4" applyFont="1" applyFill="1" applyBorder="1" applyProtection="1">
      <protection locked="0"/>
    </xf>
    <xf numFmtId="0" fontId="17" fillId="0" borderId="70" xfId="0" applyFont="1" applyBorder="1" applyProtection="1">
      <protection locked="0"/>
    </xf>
    <xf numFmtId="0" fontId="74" fillId="0" borderId="0" xfId="0" applyFont="1"/>
    <xf numFmtId="0" fontId="48" fillId="0" borderId="0" xfId="0" applyFont="1" applyProtection="1">
      <protection locked="0"/>
    </xf>
    <xf numFmtId="0" fontId="24" fillId="22" borderId="0" xfId="0" applyFont="1" applyFill="1" applyAlignment="1" applyProtection="1">
      <alignment horizontal="right"/>
      <protection locked="0"/>
    </xf>
    <xf numFmtId="164" fontId="49" fillId="0" borderId="0" xfId="0" applyNumberFormat="1" applyFont="1"/>
    <xf numFmtId="0" fontId="0" fillId="0" borderId="155" xfId="0" applyBorder="1" applyProtection="1">
      <protection locked="0"/>
    </xf>
    <xf numFmtId="164" fontId="2" fillId="0" borderId="75" xfId="0" applyNumberFormat="1" applyFont="1" applyBorder="1" applyProtection="1">
      <protection locked="0"/>
    </xf>
    <xf numFmtId="0" fontId="2" fillId="0" borderId="17" xfId="0" applyFont="1" applyBorder="1" applyProtection="1">
      <protection locked="0"/>
    </xf>
    <xf numFmtId="0" fontId="0" fillId="22" borderId="40" xfId="0" applyFill="1" applyBorder="1" applyProtection="1">
      <protection locked="0"/>
    </xf>
    <xf numFmtId="0" fontId="60" fillId="0" borderId="0" xfId="0" applyFont="1" applyProtection="1">
      <protection locked="0"/>
    </xf>
    <xf numFmtId="0" fontId="0" fillId="0" borderId="0" xfId="0" applyAlignment="1">
      <alignment horizontal="center" vertical="center"/>
    </xf>
    <xf numFmtId="0" fontId="20" fillId="0" borderId="1" xfId="0" applyFont="1" applyBorder="1" applyAlignment="1">
      <alignment wrapText="1"/>
    </xf>
    <xf numFmtId="1" fontId="20" fillId="0" borderId="1" xfId="0" applyNumberFormat="1" applyFont="1" applyBorder="1"/>
    <xf numFmtId="0" fontId="20" fillId="0" borderId="1" xfId="0" applyFont="1" applyBorder="1" applyAlignment="1">
      <alignment horizontal="center"/>
    </xf>
    <xf numFmtId="0" fontId="39" fillId="0" borderId="1" xfId="0" applyFont="1" applyBorder="1" applyAlignment="1">
      <alignment horizontal="left" vertical="center"/>
    </xf>
    <xf numFmtId="0" fontId="20" fillId="0" borderId="6" xfId="0" applyFont="1" applyBorder="1" applyAlignment="1">
      <alignment horizontal="center" vertical="center" wrapText="1"/>
    </xf>
    <xf numFmtId="2" fontId="0" fillId="0" borderId="1" xfId="0" applyNumberFormat="1" applyBorder="1" applyAlignment="1">
      <alignment vertical="center" wrapText="1"/>
    </xf>
    <xf numFmtId="0" fontId="0" fillId="0" borderId="49" xfId="0" applyBorder="1" applyProtection="1">
      <protection locked="0"/>
    </xf>
    <xf numFmtId="0" fontId="0" fillId="0" borderId="50" xfId="0" applyBorder="1"/>
    <xf numFmtId="0" fontId="0" fillId="0" borderId="51" xfId="0" applyBorder="1"/>
    <xf numFmtId="0" fontId="0" fillId="52" borderId="0" xfId="0" applyFill="1" applyAlignment="1" applyProtection="1">
      <alignment horizontal="left" vertical="center"/>
      <protection locked="0"/>
    </xf>
    <xf numFmtId="0" fontId="0" fillId="0" borderId="63" xfId="0" applyBorder="1" applyAlignment="1" applyProtection="1">
      <alignment horizontal="left" vertical="center" wrapText="1"/>
      <protection locked="0"/>
    </xf>
    <xf numFmtId="0" fontId="0" fillId="0" borderId="63" xfId="0" applyBorder="1" applyAlignment="1">
      <alignment wrapText="1"/>
    </xf>
    <xf numFmtId="0" fontId="0" fillId="0" borderId="37" xfId="0" applyBorder="1" applyAlignment="1">
      <alignment vertical="center"/>
    </xf>
    <xf numFmtId="164" fontId="0" fillId="27" borderId="23" xfId="0" applyNumberFormat="1" applyFill="1" applyBorder="1" applyAlignment="1" applyProtection="1">
      <alignment vertical="center"/>
      <protection locked="0"/>
    </xf>
    <xf numFmtId="0" fontId="0" fillId="15" borderId="37" xfId="0" applyFill="1" applyBorder="1" applyAlignment="1">
      <alignment vertical="center"/>
    </xf>
    <xf numFmtId="0" fontId="0" fillId="0" borderId="49" xfId="0" applyBorder="1" applyAlignment="1" applyProtection="1">
      <alignment horizontal="left" vertical="center" wrapText="1"/>
      <protection locked="0"/>
    </xf>
    <xf numFmtId="0" fontId="0" fillId="0" borderId="50" xfId="0" applyBorder="1" applyAlignment="1" applyProtection="1">
      <alignment horizontal="left" vertical="center" wrapText="1"/>
      <protection locked="0"/>
    </xf>
    <xf numFmtId="0" fontId="0" fillId="0" borderId="51" xfId="0" applyBorder="1" applyAlignment="1" applyProtection="1">
      <alignment horizontal="left" vertical="center" wrapText="1"/>
      <protection locked="0"/>
    </xf>
    <xf numFmtId="0" fontId="0" fillId="9" borderId="0" xfId="0" applyFill="1" applyAlignment="1">
      <alignment horizontal="left" vertical="center" wrapText="1"/>
    </xf>
    <xf numFmtId="10" fontId="0" fillId="31" borderId="0" xfId="1" applyNumberFormat="1" applyFont="1" applyFill="1" applyBorder="1" applyAlignment="1">
      <alignment horizontal="center" vertical="center"/>
    </xf>
    <xf numFmtId="10" fontId="0" fillId="0" borderId="0" xfId="0" applyNumberFormat="1" applyAlignment="1">
      <alignment wrapText="1"/>
    </xf>
    <xf numFmtId="0" fontId="0" fillId="0" borderId="0" xfId="0" applyAlignment="1">
      <alignment horizontal="left" vertical="center" wrapText="1"/>
    </xf>
    <xf numFmtId="10" fontId="0" fillId="0" borderId="0" xfId="1" applyNumberFormat="1" applyFont="1" applyFill="1" applyBorder="1" applyAlignment="1">
      <alignment horizontal="center" vertical="center"/>
    </xf>
    <xf numFmtId="164" fontId="0" fillId="0" borderId="0" xfId="0" applyNumberFormat="1" applyAlignment="1">
      <alignment wrapText="1"/>
    </xf>
    <xf numFmtId="2" fontId="0" fillId="0" borderId="0" xfId="0" applyNumberFormat="1" applyAlignment="1">
      <alignment wrapText="1"/>
    </xf>
    <xf numFmtId="0" fontId="0" fillId="0" borderId="0" xfId="1" applyNumberFormat="1" applyFont="1"/>
    <xf numFmtId="164" fontId="23" fillId="13" borderId="126" xfId="0" applyNumberFormat="1" applyFont="1" applyFill="1" applyBorder="1"/>
    <xf numFmtId="0" fontId="0" fillId="0" borderId="28" xfId="0" applyBorder="1" applyProtection="1">
      <protection locked="0"/>
    </xf>
    <xf numFmtId="0" fontId="0" fillId="0" borderId="29" xfId="0" applyBorder="1" applyProtection="1">
      <protection locked="0"/>
    </xf>
    <xf numFmtId="0" fontId="0" fillId="24" borderId="16" xfId="0" applyFill="1" applyBorder="1" applyProtection="1">
      <protection locked="0"/>
    </xf>
    <xf numFmtId="0" fontId="0" fillId="24" borderId="12" xfId="0" applyFill="1" applyBorder="1" applyProtection="1">
      <protection locked="0"/>
    </xf>
    <xf numFmtId="0" fontId="42" fillId="0" borderId="31" xfId="0" applyFont="1" applyBorder="1" applyAlignment="1" applyProtection="1">
      <alignment vertical="center"/>
      <protection locked="0"/>
    </xf>
    <xf numFmtId="10" fontId="23" fillId="13" borderId="6" xfId="6" applyNumberFormat="1" applyFont="1" applyFill="1" applyBorder="1" applyAlignment="1">
      <alignment vertical="center"/>
    </xf>
    <xf numFmtId="0" fontId="0" fillId="15" borderId="6" xfId="0" applyFill="1" applyBorder="1" applyAlignment="1">
      <alignment horizontal="center" vertical="center"/>
    </xf>
    <xf numFmtId="164" fontId="0" fillId="15" borderId="6" xfId="0" applyNumberFormat="1" applyFill="1" applyBorder="1" applyAlignment="1" applyProtection="1">
      <alignment vertical="center"/>
      <protection locked="0"/>
    </xf>
    <xf numFmtId="0" fontId="81" fillId="24" borderId="16" xfId="0" applyFont="1" applyFill="1" applyBorder="1" applyAlignment="1" applyProtection="1">
      <alignment vertical="center"/>
      <protection locked="0"/>
    </xf>
    <xf numFmtId="0" fontId="23" fillId="0" borderId="31" xfId="0" applyFont="1" applyBorder="1" applyAlignment="1" applyProtection="1">
      <alignment vertical="center"/>
      <protection locked="0"/>
    </xf>
    <xf numFmtId="164" fontId="25" fillId="13" borderId="6" xfId="0" applyNumberFormat="1" applyFont="1" applyFill="1" applyBorder="1" applyAlignment="1">
      <alignment vertical="center"/>
    </xf>
    <xf numFmtId="0" fontId="42" fillId="0" borderId="31" xfId="0" applyFont="1" applyBorder="1" applyAlignment="1" applyProtection="1">
      <alignment vertical="center" wrapText="1"/>
      <protection locked="0"/>
    </xf>
    <xf numFmtId="0" fontId="42" fillId="0" borderId="4" xfId="0" applyFont="1" applyBorder="1" applyAlignment="1" applyProtection="1">
      <alignment horizontal="right" vertical="center" wrapText="1"/>
      <protection locked="0"/>
    </xf>
    <xf numFmtId="0" fontId="42" fillId="0" borderId="64" xfId="0" applyFont="1" applyBorder="1" applyAlignment="1" applyProtection="1">
      <alignment vertical="center"/>
      <protection locked="0"/>
    </xf>
    <xf numFmtId="164" fontId="0" fillId="15" borderId="25" xfId="0" applyNumberFormat="1" applyFill="1" applyBorder="1" applyAlignment="1" applyProtection="1">
      <alignment vertical="center"/>
      <protection locked="0"/>
    </xf>
    <xf numFmtId="0" fontId="42" fillId="0" borderId="6" xfId="0" applyFont="1" applyBorder="1" applyAlignment="1" applyProtection="1">
      <alignment vertical="center"/>
      <protection locked="0"/>
    </xf>
    <xf numFmtId="164" fontId="0" fillId="15" borderId="26" xfId="0" applyNumberFormat="1" applyFill="1" applyBorder="1" applyAlignment="1" applyProtection="1">
      <alignment vertical="center"/>
      <protection locked="0"/>
    </xf>
    <xf numFmtId="0" fontId="42" fillId="0" borderId="40" xfId="0" applyFont="1" applyBorder="1" applyAlignment="1" applyProtection="1">
      <alignment vertical="center"/>
      <protection locked="0"/>
    </xf>
    <xf numFmtId="164" fontId="0" fillId="15" borderId="27" xfId="0" applyNumberFormat="1" applyFill="1" applyBorder="1" applyAlignment="1" applyProtection="1">
      <alignment vertical="center"/>
      <protection locked="0"/>
    </xf>
    <xf numFmtId="0" fontId="42" fillId="0" borderId="169" xfId="0" applyFont="1" applyBorder="1" applyAlignment="1" applyProtection="1">
      <alignment horizontal="left" vertical="center"/>
      <protection locked="0"/>
    </xf>
    <xf numFmtId="0" fontId="0" fillId="15" borderId="170" xfId="0" applyFill="1" applyBorder="1" applyAlignment="1">
      <alignment horizontal="center" vertical="center"/>
    </xf>
    <xf numFmtId="10" fontId="83" fillId="13" borderId="171" xfId="6" applyNumberFormat="1" applyFont="1" applyFill="1" applyBorder="1" applyAlignment="1">
      <alignment horizontal="center" vertical="center"/>
    </xf>
    <xf numFmtId="0" fontId="42" fillId="0" borderId="172" xfId="0" applyFont="1" applyBorder="1" applyAlignment="1" applyProtection="1">
      <alignment horizontal="left" vertical="center"/>
      <protection locked="0"/>
    </xf>
    <xf numFmtId="0" fontId="0" fillId="0" borderId="175" xfId="0" applyBorder="1" applyAlignment="1">
      <alignment vertical="center"/>
    </xf>
    <xf numFmtId="0" fontId="0" fillId="0" borderId="178" xfId="0" applyBorder="1" applyProtection="1">
      <protection locked="0"/>
    </xf>
    <xf numFmtId="0" fontId="17" fillId="29" borderId="19" xfId="0" applyFont="1" applyFill="1" applyBorder="1" applyAlignment="1" applyProtection="1">
      <alignment vertical="center"/>
      <protection locked="0"/>
    </xf>
    <xf numFmtId="0" fontId="17" fillId="29" borderId="0" xfId="0" applyFont="1" applyFill="1" applyAlignment="1" applyProtection="1">
      <alignment vertical="center"/>
      <protection locked="0"/>
    </xf>
    <xf numFmtId="0" fontId="17" fillId="29" borderId="63" xfId="0" applyFont="1" applyFill="1" applyBorder="1" applyAlignment="1" applyProtection="1">
      <alignment vertical="center"/>
      <protection locked="0"/>
    </xf>
    <xf numFmtId="0" fontId="2" fillId="0" borderId="19" xfId="0" applyFont="1" applyBorder="1" applyAlignment="1" applyProtection="1">
      <alignment vertical="center"/>
      <protection locked="0"/>
    </xf>
    <xf numFmtId="0" fontId="48" fillId="0" borderId="17" xfId="0" applyFont="1" applyBorder="1" applyAlignment="1" applyProtection="1">
      <alignment vertical="center"/>
      <protection locked="0"/>
    </xf>
    <xf numFmtId="0" fontId="24" fillId="22" borderId="40" xfId="0" applyFont="1" applyFill="1" applyBorder="1" applyAlignment="1" applyProtection="1">
      <alignment horizontal="right" vertical="center"/>
      <protection locked="0"/>
    </xf>
    <xf numFmtId="0" fontId="17" fillId="29" borderId="44" xfId="0" applyFont="1" applyFill="1" applyBorder="1" applyAlignment="1" applyProtection="1">
      <alignment vertical="center"/>
      <protection locked="0"/>
    </xf>
    <xf numFmtId="0" fontId="13" fillId="29" borderId="48" xfId="0" applyFont="1" applyFill="1" applyBorder="1" applyAlignment="1" applyProtection="1">
      <alignment vertical="center"/>
      <protection locked="0"/>
    </xf>
    <xf numFmtId="0" fontId="17" fillId="29" borderId="36" xfId="0" applyFont="1" applyFill="1" applyBorder="1" applyAlignment="1" applyProtection="1">
      <alignment vertical="center"/>
      <protection locked="0"/>
    </xf>
    <xf numFmtId="0" fontId="0" fillId="0" borderId="19" xfId="0" applyBorder="1" applyAlignment="1" applyProtection="1">
      <alignment vertical="center"/>
      <protection locked="0"/>
    </xf>
    <xf numFmtId="0" fontId="2" fillId="0" borderId="0" xfId="0" applyFont="1" applyAlignment="1" applyProtection="1">
      <alignment vertical="center"/>
      <protection locked="0"/>
    </xf>
    <xf numFmtId="0" fontId="0" fillId="0" borderId="29" xfId="0" applyBorder="1" applyAlignment="1" applyProtection="1">
      <alignment vertical="center"/>
      <protection locked="0"/>
    </xf>
    <xf numFmtId="0" fontId="0" fillId="0" borderId="17" xfId="0" applyBorder="1" applyAlignment="1" applyProtection="1">
      <alignment vertical="center"/>
      <protection locked="0"/>
    </xf>
    <xf numFmtId="0" fontId="0" fillId="0" borderId="29" xfId="0" applyBorder="1" applyAlignment="1">
      <alignment vertical="center"/>
    </xf>
    <xf numFmtId="0" fontId="0" fillId="0" borderId="19" xfId="0" applyBorder="1" applyAlignment="1">
      <alignment vertical="center"/>
    </xf>
    <xf numFmtId="0" fontId="0" fillId="0" borderId="17" xfId="0" applyBorder="1" applyAlignment="1">
      <alignment vertical="center"/>
    </xf>
    <xf numFmtId="0" fontId="0" fillId="0" borderId="28" xfId="0" applyBorder="1" applyAlignment="1">
      <alignment vertical="center"/>
    </xf>
    <xf numFmtId="0" fontId="85" fillId="45" borderId="180" xfId="0" applyFont="1" applyFill="1" applyBorder="1" applyAlignment="1">
      <alignment vertical="center"/>
    </xf>
    <xf numFmtId="0" fontId="85" fillId="45" borderId="181" xfId="0" applyFont="1" applyFill="1" applyBorder="1" applyAlignment="1">
      <alignment vertical="center"/>
    </xf>
    <xf numFmtId="0" fontId="0" fillId="37" borderId="4" xfId="0" applyFill="1" applyBorder="1" applyAlignment="1">
      <alignment vertical="center" wrapText="1"/>
    </xf>
    <xf numFmtId="0" fontId="0" fillId="37" borderId="4" xfId="0" applyFill="1" applyBorder="1" applyAlignment="1">
      <alignment vertical="center"/>
    </xf>
    <xf numFmtId="0" fontId="0" fillId="37" borderId="6" xfId="0" applyFill="1" applyBorder="1" applyAlignment="1">
      <alignment vertical="center" wrapText="1"/>
    </xf>
    <xf numFmtId="2" fontId="0" fillId="37" borderId="6" xfId="0" applyNumberFormat="1" applyFill="1" applyBorder="1" applyAlignment="1">
      <alignment vertical="center"/>
    </xf>
    <xf numFmtId="0" fontId="0" fillId="37" borderId="6" xfId="0" applyFill="1" applyBorder="1" applyAlignment="1">
      <alignment vertical="center"/>
    </xf>
    <xf numFmtId="0" fontId="0" fillId="37" borderId="31" xfId="0" applyFill="1" applyBorder="1" applyAlignment="1">
      <alignment vertical="center" wrapText="1"/>
    </xf>
    <xf numFmtId="172" fontId="0" fillId="37" borderId="31" xfId="0" applyNumberFormat="1" applyFill="1" applyBorder="1" applyAlignment="1">
      <alignment vertical="center"/>
    </xf>
    <xf numFmtId="0" fontId="2" fillId="19" borderId="34" xfId="0" applyFont="1" applyFill="1" applyBorder="1" applyAlignment="1">
      <alignment vertical="center"/>
    </xf>
    <xf numFmtId="172" fontId="2" fillId="19" borderId="35" xfId="0" applyNumberFormat="1" applyFont="1" applyFill="1" applyBorder="1" applyAlignment="1">
      <alignment vertical="center"/>
    </xf>
    <xf numFmtId="2" fontId="0" fillId="37" borderId="183" xfId="0" applyNumberFormat="1" applyFill="1" applyBorder="1" applyAlignment="1">
      <alignment vertical="center" wrapText="1"/>
    </xf>
    <xf numFmtId="10" fontId="0" fillId="37" borderId="184" xfId="0" applyNumberFormat="1" applyFill="1" applyBorder="1" applyAlignment="1">
      <alignment vertical="center" wrapText="1"/>
    </xf>
    <xf numFmtId="2" fontId="0" fillId="37" borderId="185" xfId="0" applyNumberFormat="1" applyFill="1" applyBorder="1" applyAlignment="1">
      <alignment vertical="center" wrapText="1"/>
    </xf>
    <xf numFmtId="0" fontId="0" fillId="37" borderId="40" xfId="0" applyFill="1" applyBorder="1" applyAlignment="1">
      <alignment vertical="center" wrapText="1"/>
    </xf>
    <xf numFmtId="0" fontId="0" fillId="9" borderId="34" xfId="0" applyFill="1" applyBorder="1" applyAlignment="1">
      <alignment vertical="center"/>
    </xf>
    <xf numFmtId="172" fontId="2" fillId="9" borderId="35" xfId="0" applyNumberFormat="1" applyFont="1" applyFill="1" applyBorder="1" applyAlignment="1">
      <alignment vertical="center"/>
    </xf>
    <xf numFmtId="0" fontId="0" fillId="0" borderId="21" xfId="0" applyBorder="1" applyAlignment="1">
      <alignment vertical="center"/>
    </xf>
    <xf numFmtId="164" fontId="0" fillId="0" borderId="25" xfId="0" applyNumberFormat="1" applyBorder="1" applyAlignment="1">
      <alignment horizontal="right" vertical="center"/>
    </xf>
    <xf numFmtId="0" fontId="0" fillId="0" borderId="5" xfId="0" applyBorder="1" applyAlignment="1">
      <alignment vertical="center"/>
    </xf>
    <xf numFmtId="172" fontId="0" fillId="0" borderId="155" xfId="0" applyNumberFormat="1" applyBorder="1" applyAlignment="1">
      <alignment horizontal="right" vertical="center"/>
    </xf>
    <xf numFmtId="172" fontId="0" fillId="0" borderId="33" xfId="0" applyNumberFormat="1" applyBorder="1" applyAlignment="1">
      <alignment horizontal="right" vertical="center"/>
    </xf>
    <xf numFmtId="172" fontId="0" fillId="0" borderId="27" xfId="0" applyNumberFormat="1" applyBorder="1" applyAlignment="1">
      <alignment horizontal="right" vertical="center"/>
    </xf>
    <xf numFmtId="164" fontId="25" fillId="13" borderId="71" xfId="0" applyNumberFormat="1" applyFont="1" applyFill="1" applyBorder="1" applyAlignment="1">
      <alignment vertical="center"/>
    </xf>
    <xf numFmtId="0" fontId="0" fillId="0" borderId="39" xfId="0" applyBorder="1" applyAlignment="1">
      <alignment vertical="center"/>
    </xf>
    <xf numFmtId="0" fontId="33" fillId="0" borderId="21" xfId="0" applyFont="1" applyBorder="1" applyAlignment="1">
      <alignment vertical="center" wrapText="1"/>
    </xf>
    <xf numFmtId="164" fontId="33" fillId="0" borderId="25" xfId="0" applyNumberFormat="1" applyFont="1" applyBorder="1" applyAlignment="1">
      <alignment horizontal="right" vertical="center" wrapText="1"/>
    </xf>
    <xf numFmtId="0" fontId="33" fillId="0" borderId="5" xfId="0" applyFont="1" applyBorder="1" applyAlignment="1">
      <alignment vertical="center" wrapText="1"/>
    </xf>
    <xf numFmtId="164" fontId="33" fillId="0" borderId="26" xfId="0" applyNumberFormat="1" applyFont="1" applyBorder="1" applyAlignment="1">
      <alignment horizontal="right" vertical="center" wrapText="1"/>
    </xf>
    <xf numFmtId="0" fontId="33" fillId="0" borderId="22" xfId="0" applyFont="1" applyBorder="1" applyAlignment="1">
      <alignment vertical="center" wrapText="1"/>
    </xf>
    <xf numFmtId="164" fontId="33" fillId="0" borderId="27" xfId="0" applyNumberFormat="1" applyFont="1" applyBorder="1" applyAlignment="1">
      <alignment horizontal="right" vertical="center" wrapText="1"/>
    </xf>
    <xf numFmtId="0" fontId="0" fillId="0" borderId="6" xfId="0" applyBorder="1" applyAlignment="1" applyProtection="1">
      <alignment horizontal="right"/>
      <protection locked="0"/>
    </xf>
    <xf numFmtId="0" fontId="82" fillId="29" borderId="49" xfId="4" applyFont="1" applyFill="1" applyBorder="1" applyProtection="1">
      <protection locked="0"/>
    </xf>
    <xf numFmtId="0" fontId="19" fillId="26" borderId="186" xfId="0" applyFont="1" applyFill="1" applyBorder="1" applyAlignment="1">
      <alignment horizontal="left" vertical="center" wrapText="1"/>
    </xf>
    <xf numFmtId="0" fontId="0" fillId="26" borderId="187" xfId="0" applyFill="1" applyBorder="1"/>
    <xf numFmtId="0" fontId="0" fillId="26" borderId="188" xfId="0" applyFill="1" applyBorder="1"/>
    <xf numFmtId="0" fontId="2" fillId="0" borderId="189" xfId="0" applyFont="1" applyBorder="1" applyProtection="1">
      <protection locked="0"/>
    </xf>
    <xf numFmtId="0" fontId="0" fillId="0" borderId="40" xfId="0" applyBorder="1" applyAlignment="1" applyProtection="1">
      <alignment horizontal="right"/>
      <protection locked="0"/>
    </xf>
    <xf numFmtId="0" fontId="0" fillId="15" borderId="26" xfId="0" applyFill="1" applyBorder="1" applyAlignment="1">
      <alignment horizontal="center" vertical="center" wrapText="1"/>
    </xf>
    <xf numFmtId="0" fontId="0" fillId="25" borderId="26" xfId="0" applyFill="1" applyBorder="1" applyProtection="1">
      <protection locked="0"/>
    </xf>
    <xf numFmtId="0" fontId="0" fillId="15" borderId="26" xfId="0" applyFill="1" applyBorder="1" applyProtection="1">
      <protection locked="0"/>
    </xf>
    <xf numFmtId="0" fontId="2" fillId="50" borderId="81" xfId="0" applyFont="1" applyFill="1" applyBorder="1" applyAlignment="1">
      <alignment horizontal="left" indent="2"/>
    </xf>
    <xf numFmtId="0" fontId="0" fillId="18" borderId="37" xfId="0" applyFill="1" applyBorder="1" applyAlignment="1">
      <alignment horizontal="left" indent="2"/>
    </xf>
    <xf numFmtId="0" fontId="0" fillId="0" borderId="155" xfId="0" applyBorder="1" applyAlignment="1">
      <alignment horizontal="center"/>
    </xf>
    <xf numFmtId="0" fontId="2" fillId="0" borderId="6" xfId="0" applyFont="1" applyBorder="1"/>
    <xf numFmtId="0" fontId="0" fillId="6" borderId="37" xfId="0" applyFill="1" applyBorder="1"/>
    <xf numFmtId="0" fontId="0" fillId="30" borderId="37" xfId="0" applyFill="1" applyBorder="1"/>
    <xf numFmtId="167" fontId="0" fillId="30" borderId="26" xfId="0" applyNumberFormat="1" applyFill="1" applyBorder="1"/>
    <xf numFmtId="168" fontId="0" fillId="30" borderId="26" xfId="0" applyNumberFormat="1" applyFill="1" applyBorder="1"/>
    <xf numFmtId="0" fontId="0" fillId="0" borderId="6" xfId="0" applyBorder="1" applyAlignment="1">
      <alignment horizontal="left" vertical="center"/>
    </xf>
    <xf numFmtId="0" fontId="2" fillId="19" borderId="35" xfId="0" applyFont="1" applyFill="1" applyBorder="1" applyAlignment="1">
      <alignment vertical="center"/>
    </xf>
    <xf numFmtId="0" fontId="0" fillId="0" borderId="22" xfId="0" applyBorder="1" applyAlignment="1">
      <alignment vertical="center" wrapText="1"/>
    </xf>
    <xf numFmtId="7" fontId="2" fillId="0" borderId="0" xfId="2" applyNumberFormat="1" applyFont="1" applyFill="1" applyBorder="1" applyAlignment="1">
      <alignment horizontal="right"/>
    </xf>
    <xf numFmtId="0" fontId="0" fillId="0" borderId="190" xfId="0" applyBorder="1"/>
    <xf numFmtId="7" fontId="2" fillId="0" borderId="40" xfId="2" applyNumberFormat="1" applyFont="1" applyFill="1" applyBorder="1" applyAlignment="1">
      <alignment horizontal="right"/>
    </xf>
    <xf numFmtId="172" fontId="0" fillId="0" borderId="40" xfId="0" applyNumberFormat="1" applyBorder="1" applyAlignment="1">
      <alignment vertical="center"/>
    </xf>
    <xf numFmtId="0" fontId="0" fillId="0" borderId="155" xfId="0" applyBorder="1"/>
    <xf numFmtId="172" fontId="0" fillId="0" borderId="27" xfId="0" applyNumberFormat="1" applyBorder="1"/>
    <xf numFmtId="0" fontId="0" fillId="0" borderId="78" xfId="0" applyBorder="1"/>
    <xf numFmtId="0" fontId="2" fillId="0" borderId="39" xfId="0" applyFont="1" applyBorder="1"/>
    <xf numFmtId="0" fontId="0" fillId="0" borderId="15" xfId="0" applyBorder="1" applyAlignment="1">
      <alignment vertical="center"/>
    </xf>
    <xf numFmtId="167" fontId="0" fillId="0" borderId="37" xfId="0" applyNumberFormat="1" applyBorder="1" applyAlignment="1">
      <alignment horizontal="right"/>
    </xf>
    <xf numFmtId="0" fontId="0" fillId="22" borderId="6" xfId="0" applyFill="1" applyBorder="1" applyProtection="1">
      <protection locked="0"/>
    </xf>
    <xf numFmtId="0" fontId="0" fillId="22" borderId="19" xfId="0" applyFill="1" applyBorder="1" applyProtection="1">
      <protection locked="0"/>
    </xf>
    <xf numFmtId="2" fontId="0" fillId="13" borderId="24" xfId="0" applyNumberFormat="1" applyFill="1" applyBorder="1" applyProtection="1">
      <protection locked="0"/>
    </xf>
    <xf numFmtId="0" fontId="0" fillId="13" borderId="65" xfId="0" applyFill="1" applyBorder="1" applyAlignment="1">
      <alignment horizontal="center" vertical="center"/>
    </xf>
    <xf numFmtId="0" fontId="59" fillId="0" borderId="189" xfId="0" applyFont="1" applyBorder="1" applyAlignment="1">
      <alignment horizontal="center"/>
    </xf>
    <xf numFmtId="0" fontId="59" fillId="0" borderId="192" xfId="0" applyFont="1" applyBorder="1" applyAlignment="1">
      <alignment horizontal="center"/>
    </xf>
    <xf numFmtId="0" fontId="2" fillId="5" borderId="29" xfId="0" applyFont="1" applyFill="1" applyBorder="1" applyProtection="1">
      <protection locked="0"/>
    </xf>
    <xf numFmtId="0" fontId="0" fillId="0" borderId="63" xfId="0" applyBorder="1"/>
    <xf numFmtId="0" fontId="0" fillId="18" borderId="134" xfId="0" applyFill="1" applyBorder="1" applyAlignment="1" applyProtection="1">
      <alignment horizontal="left" vertical="center" wrapText="1"/>
      <protection locked="0"/>
    </xf>
    <xf numFmtId="0" fontId="0" fillId="34" borderId="6" xfId="0" applyFill="1" applyBorder="1"/>
    <xf numFmtId="2" fontId="0" fillId="34" borderId="6" xfId="0" applyNumberFormat="1" applyFill="1" applyBorder="1"/>
    <xf numFmtId="0" fontId="0" fillId="34" borderId="40" xfId="0" applyFill="1" applyBorder="1"/>
    <xf numFmtId="164" fontId="0" fillId="34" borderId="27" xfId="0" applyNumberFormat="1" applyFill="1" applyBorder="1"/>
    <xf numFmtId="164" fontId="0" fillId="34" borderId="4" xfId="0" applyNumberFormat="1" applyFill="1" applyBorder="1"/>
    <xf numFmtId="0" fontId="0" fillId="15" borderId="27" xfId="0" applyFill="1" applyBorder="1" applyAlignment="1">
      <alignment horizontal="center" vertical="center" wrapText="1"/>
    </xf>
    <xf numFmtId="0" fontId="0" fillId="0" borderId="193" xfId="0" applyBorder="1" applyProtection="1">
      <protection locked="0"/>
    </xf>
    <xf numFmtId="0" fontId="2" fillId="0" borderId="194" xfId="0" applyFont="1" applyBorder="1" applyProtection="1">
      <protection locked="0"/>
    </xf>
    <xf numFmtId="0" fontId="0" fillId="15" borderId="33" xfId="0" applyFill="1" applyBorder="1" applyAlignment="1">
      <alignment horizontal="center" vertical="center" wrapText="1"/>
    </xf>
    <xf numFmtId="164" fontId="0" fillId="34" borderId="30" xfId="0" applyNumberFormat="1" applyFill="1" applyBorder="1"/>
    <xf numFmtId="2" fontId="0" fillId="15" borderId="196" xfId="0" applyNumberFormat="1" applyFill="1" applyBorder="1" applyProtection="1">
      <protection locked="0"/>
    </xf>
    <xf numFmtId="0" fontId="0" fillId="0" borderId="195" xfId="0" applyBorder="1" applyAlignment="1">
      <alignment wrapText="1"/>
    </xf>
    <xf numFmtId="0" fontId="82" fillId="29" borderId="152" xfId="4" applyFont="1" applyFill="1" applyBorder="1" applyProtection="1">
      <protection locked="0"/>
    </xf>
    <xf numFmtId="0" fontId="82" fillId="29" borderId="153" xfId="4" applyFont="1" applyFill="1" applyBorder="1" applyProtection="1">
      <protection locked="0"/>
    </xf>
    <xf numFmtId="44" fontId="2" fillId="50" borderId="27" xfId="2" applyFont="1" applyFill="1" applyBorder="1" applyAlignment="1">
      <alignment horizontal="left"/>
    </xf>
    <xf numFmtId="2" fontId="0" fillId="0" borderId="23" xfId="0" applyNumberFormat="1" applyBorder="1"/>
    <xf numFmtId="0" fontId="0" fillId="0" borderId="49" xfId="0" applyBorder="1" applyAlignment="1">
      <alignment horizontal="right"/>
    </xf>
    <xf numFmtId="167" fontId="0" fillId="30" borderId="33" xfId="0" applyNumberFormat="1" applyFill="1" applyBorder="1"/>
    <xf numFmtId="0" fontId="0" fillId="0" borderId="33" xfId="0" applyBorder="1" applyAlignment="1">
      <alignment horizontal="right"/>
    </xf>
    <xf numFmtId="44" fontId="0" fillId="0" borderId="6" xfId="0" applyNumberFormat="1" applyBorder="1" applyAlignment="1">
      <alignment horizontal="right"/>
    </xf>
    <xf numFmtId="0" fontId="73" fillId="0" borderId="32" xfId="0" applyFont="1" applyBorder="1"/>
    <xf numFmtId="0" fontId="27" fillId="0" borderId="18" xfId="0" applyFont="1" applyBorder="1"/>
    <xf numFmtId="0" fontId="13" fillId="0" borderId="31" xfId="0" applyFont="1" applyBorder="1" applyAlignment="1">
      <alignment horizontal="right"/>
    </xf>
    <xf numFmtId="2" fontId="2" fillId="0" borderId="6" xfId="0" applyNumberFormat="1" applyFont="1" applyBorder="1" applyAlignment="1">
      <alignment wrapText="1"/>
    </xf>
    <xf numFmtId="0" fontId="40" fillId="22" borderId="94" xfId="0" applyFont="1" applyFill="1" applyBorder="1"/>
    <xf numFmtId="0" fontId="0" fillId="0" borderId="95" xfId="0" applyBorder="1"/>
    <xf numFmtId="1" fontId="0" fillId="0" borderId="0" xfId="0" applyNumberFormat="1" applyAlignment="1" applyProtection="1">
      <alignment horizontal="left" wrapText="1"/>
      <protection locked="0"/>
    </xf>
    <xf numFmtId="0" fontId="0" fillId="11" borderId="6" xfId="0" applyFill="1" applyBorder="1" applyAlignment="1" applyProtection="1">
      <alignment wrapText="1"/>
      <protection locked="0"/>
    </xf>
    <xf numFmtId="0" fontId="2" fillId="4" borderId="8" xfId="0" applyFont="1" applyFill="1" applyBorder="1" applyAlignment="1">
      <alignment wrapText="1"/>
    </xf>
    <xf numFmtId="0" fontId="0" fillId="0" borderId="0" xfId="0" applyAlignment="1">
      <alignment horizontal="justify" vertical="center"/>
    </xf>
    <xf numFmtId="0" fontId="2" fillId="0" borderId="0" xfId="0" applyFont="1" applyAlignment="1">
      <alignment horizontal="justify" vertical="center"/>
    </xf>
    <xf numFmtId="0" fontId="0" fillId="0" borderId="43" xfId="0" applyBorder="1"/>
    <xf numFmtId="0" fontId="0" fillId="0" borderId="33" xfId="0" applyBorder="1"/>
    <xf numFmtId="167" fontId="0" fillId="0" borderId="33" xfId="0" applyNumberFormat="1" applyBorder="1"/>
    <xf numFmtId="0" fontId="0" fillId="0" borderId="164" xfId="0" applyBorder="1" applyProtection="1">
      <protection locked="0"/>
    </xf>
    <xf numFmtId="0" fontId="0" fillId="18" borderId="49" xfId="0" applyFill="1" applyBorder="1" applyAlignment="1" applyProtection="1">
      <alignment horizontal="left" vertical="center" wrapText="1"/>
      <protection locked="0"/>
    </xf>
    <xf numFmtId="0" fontId="2" fillId="0" borderId="197" xfId="0" applyFont="1" applyBorder="1" applyProtection="1">
      <protection locked="0"/>
    </xf>
    <xf numFmtId="0" fontId="0" fillId="0" borderId="0" xfId="0" applyAlignment="1" applyProtection="1">
      <alignment horizontal="left" vertical="center" wrapText="1"/>
      <protection locked="0"/>
    </xf>
    <xf numFmtId="0" fontId="13" fillId="22" borderId="15" xfId="0" applyFont="1" applyFill="1" applyBorder="1" applyProtection="1">
      <protection locked="0"/>
    </xf>
    <xf numFmtId="0" fontId="0" fillId="55" borderId="16" xfId="0" applyFill="1" applyBorder="1" applyProtection="1">
      <protection locked="0"/>
    </xf>
    <xf numFmtId="164" fontId="0" fillId="55" borderId="16" xfId="0" applyNumberFormat="1" applyFill="1" applyBorder="1" applyAlignment="1" applyProtection="1">
      <alignment vertical="center"/>
      <protection locked="0"/>
    </xf>
    <xf numFmtId="0" fontId="70" fillId="55" borderId="16" xfId="0" applyFont="1" applyFill="1" applyBorder="1" applyAlignment="1" applyProtection="1">
      <alignment vertical="center"/>
      <protection locked="0"/>
    </xf>
    <xf numFmtId="0" fontId="42" fillId="13" borderId="31" xfId="0" applyFont="1" applyFill="1" applyBorder="1" applyAlignment="1" applyProtection="1">
      <alignment vertical="center"/>
      <protection locked="0"/>
    </xf>
    <xf numFmtId="0" fontId="0" fillId="18" borderId="31" xfId="0" applyFill="1" applyBorder="1" applyAlignment="1">
      <alignment wrapText="1"/>
    </xf>
    <xf numFmtId="0" fontId="0" fillId="15" borderId="25" xfId="0" applyFill="1" applyBorder="1"/>
    <xf numFmtId="0" fontId="0" fillId="15" borderId="26" xfId="0" applyFill="1" applyBorder="1"/>
    <xf numFmtId="0" fontId="0" fillId="15" borderId="27" xfId="0" applyFill="1" applyBorder="1"/>
    <xf numFmtId="168" fontId="0" fillId="6" borderId="41" xfId="0" applyNumberFormat="1" applyFill="1" applyBorder="1" applyAlignment="1">
      <alignment horizontal="right"/>
    </xf>
    <xf numFmtId="172" fontId="0" fillId="51" borderId="41" xfId="0" applyNumberFormat="1" applyFill="1" applyBorder="1" applyAlignment="1">
      <alignment horizontal="right"/>
    </xf>
    <xf numFmtId="0" fontId="0" fillId="0" borderId="193" xfId="0" applyBorder="1"/>
    <xf numFmtId="0" fontId="0" fillId="10" borderId="20" xfId="0" applyFill="1" applyBorder="1" applyAlignment="1">
      <alignment horizontal="left" vertical="center" wrapText="1"/>
    </xf>
    <xf numFmtId="0" fontId="0" fillId="10" borderId="16" xfId="0" applyFill="1" applyBorder="1" applyAlignment="1">
      <alignment horizontal="center" vertical="center" wrapText="1"/>
    </xf>
    <xf numFmtId="0" fontId="0" fillId="10" borderId="12" xfId="0" applyFill="1" applyBorder="1" applyAlignment="1">
      <alignment horizontal="center" vertical="center" wrapText="1"/>
    </xf>
    <xf numFmtId="0" fontId="2" fillId="0" borderId="44" xfId="0" applyFont="1" applyBorder="1"/>
    <xf numFmtId="0" fontId="2" fillId="0" borderId="52" xfId="0" applyFont="1" applyBorder="1"/>
    <xf numFmtId="0" fontId="0" fillId="4" borderId="0" xfId="0" applyFill="1"/>
    <xf numFmtId="172" fontId="0" fillId="51" borderId="198" xfId="0" applyNumberFormat="1" applyFill="1" applyBorder="1" applyAlignment="1">
      <alignment horizontal="right"/>
    </xf>
    <xf numFmtId="0" fontId="0" fillId="51" borderId="43" xfId="0" applyFill="1" applyBorder="1" applyAlignment="1">
      <alignment horizontal="right"/>
    </xf>
    <xf numFmtId="0" fontId="2" fillId="50" borderId="193" xfId="0" applyFont="1" applyFill="1" applyBorder="1"/>
    <xf numFmtId="168" fontId="2" fillId="50" borderId="155" xfId="0" applyNumberFormat="1" applyFont="1" applyFill="1" applyBorder="1"/>
    <xf numFmtId="0" fontId="0" fillId="0" borderId="16" xfId="0" applyBorder="1" applyProtection="1">
      <protection locked="0"/>
    </xf>
    <xf numFmtId="0" fontId="0" fillId="0" borderId="8" xfId="0" applyBorder="1" applyAlignment="1">
      <alignment horizontal="center" vertical="center" wrapText="1"/>
    </xf>
    <xf numFmtId="0" fontId="0" fillId="0" borderId="13" xfId="0" applyBorder="1" applyAlignment="1">
      <alignment horizontal="center" vertical="center" wrapText="1"/>
    </xf>
    <xf numFmtId="0" fontId="0" fillId="0" borderId="14" xfId="0" applyBorder="1" applyAlignment="1">
      <alignment horizontal="center" vertical="center" wrapText="1"/>
    </xf>
    <xf numFmtId="0" fontId="0" fillId="39" borderId="0" xfId="0" applyFill="1"/>
    <xf numFmtId="0" fontId="0" fillId="18" borderId="6" xfId="0" applyFill="1" applyBorder="1" applyAlignment="1" applyProtection="1">
      <alignment vertical="center"/>
      <protection locked="0"/>
    </xf>
    <xf numFmtId="0" fontId="0" fillId="18" borderId="32" xfId="0" applyFill="1" applyBorder="1" applyAlignment="1" applyProtection="1">
      <alignment vertical="center"/>
      <protection locked="0"/>
    </xf>
    <xf numFmtId="0" fontId="0" fillId="31" borderId="32" xfId="0" applyFill="1" applyBorder="1" applyAlignment="1" applyProtection="1">
      <alignment vertical="center"/>
      <protection locked="0"/>
    </xf>
    <xf numFmtId="0" fontId="0" fillId="31" borderId="6" xfId="0" applyFill="1" applyBorder="1" applyAlignment="1">
      <alignment horizontal="right"/>
    </xf>
    <xf numFmtId="0" fontId="0" fillId="31" borderId="32" xfId="0" applyFill="1" applyBorder="1" applyAlignment="1">
      <alignment horizontal="right"/>
    </xf>
    <xf numFmtId="0" fontId="0" fillId="3" borderId="6" xfId="0" applyFill="1" applyBorder="1" applyAlignment="1">
      <alignment wrapText="1"/>
    </xf>
    <xf numFmtId="0" fontId="0" fillId="3" borderId="0" xfId="0" applyFill="1" applyAlignment="1">
      <alignment wrapText="1"/>
    </xf>
    <xf numFmtId="0" fontId="2" fillId="3" borderId="6" xfId="0" applyFont="1" applyFill="1" applyBorder="1" applyAlignment="1">
      <alignment wrapText="1"/>
    </xf>
    <xf numFmtId="0" fontId="0" fillId="0" borderId="6" xfId="0" applyBorder="1" applyAlignment="1">
      <alignment wrapText="1"/>
    </xf>
    <xf numFmtId="0" fontId="0" fillId="0" borderId="0" xfId="0" applyAlignment="1">
      <alignment horizontal="left" wrapText="1"/>
    </xf>
    <xf numFmtId="0" fontId="0" fillId="33" borderId="0" xfId="0" applyFill="1" applyAlignment="1">
      <alignment horizontal="center" vertical="center"/>
    </xf>
    <xf numFmtId="0" fontId="0" fillId="33" borderId="0" xfId="0" applyFill="1"/>
    <xf numFmtId="0" fontId="0" fillId="13" borderId="6" xfId="0" applyFill="1" applyBorder="1"/>
    <xf numFmtId="0" fontId="0" fillId="15" borderId="6" xfId="0" applyFill="1" applyBorder="1"/>
    <xf numFmtId="0" fontId="0" fillId="57" borderId="6" xfId="0" applyFill="1" applyBorder="1"/>
    <xf numFmtId="164" fontId="0" fillId="0" borderId="0" xfId="0" applyNumberFormat="1" applyAlignment="1" applyProtection="1">
      <alignment vertical="center"/>
      <protection locked="0"/>
    </xf>
    <xf numFmtId="0" fontId="0" fillId="28" borderId="6" xfId="0" applyFill="1" applyBorder="1" applyProtection="1">
      <protection locked="0"/>
    </xf>
    <xf numFmtId="0" fontId="0" fillId="17" borderId="6" xfId="0" applyFill="1" applyBorder="1" applyAlignment="1" applyProtection="1">
      <alignment vertical="top" wrapText="1"/>
      <protection locked="0"/>
    </xf>
    <xf numFmtId="0" fontId="17" fillId="29" borderId="0" xfId="0" applyFont="1" applyFill="1"/>
    <xf numFmtId="0" fontId="14" fillId="0" borderId="1" xfId="0" applyFont="1" applyBorder="1" applyAlignment="1">
      <alignment horizontal="center"/>
    </xf>
    <xf numFmtId="0" fontId="0" fillId="0" borderId="8" xfId="0" applyBorder="1" applyAlignment="1">
      <alignment horizontal="center" vertical="center"/>
    </xf>
    <xf numFmtId="0" fontId="0" fillId="0" borderId="13" xfId="0" applyBorder="1" applyAlignment="1">
      <alignment horizontal="center" vertical="center"/>
    </xf>
    <xf numFmtId="0" fontId="0" fillId="58" borderId="0" xfId="0" applyFill="1" applyAlignment="1">
      <alignment horizontal="center"/>
    </xf>
    <xf numFmtId="2" fontId="0" fillId="0" borderId="1" xfId="0" applyNumberFormat="1" applyBorder="1"/>
    <xf numFmtId="0" fontId="0" fillId="0" borderId="47" xfId="0" applyBorder="1" applyAlignment="1" applyProtection="1">
      <alignment wrapText="1"/>
      <protection locked="0"/>
    </xf>
    <xf numFmtId="0" fontId="0" fillId="0" borderId="45" xfId="0" applyBorder="1" applyAlignment="1">
      <alignment wrapText="1"/>
    </xf>
    <xf numFmtId="0" fontId="0" fillId="0" borderId="45" xfId="0" applyBorder="1" applyAlignment="1" applyProtection="1">
      <alignment wrapText="1"/>
      <protection locked="0"/>
    </xf>
    <xf numFmtId="0" fontId="0" fillId="0" borderId="46" xfId="0" applyBorder="1" applyAlignment="1" applyProtection="1">
      <alignment wrapText="1"/>
      <protection locked="0"/>
    </xf>
    <xf numFmtId="0" fontId="0" fillId="54" borderId="1" xfId="0" applyFill="1" applyBorder="1" applyAlignment="1">
      <alignment wrapText="1"/>
    </xf>
    <xf numFmtId="2" fontId="0" fillId="54" borderId="16" xfId="0" applyNumberFormat="1" applyFill="1" applyBorder="1"/>
    <xf numFmtId="0" fontId="14" fillId="54" borderId="1" xfId="0" applyFont="1" applyFill="1" applyBorder="1"/>
    <xf numFmtId="0" fontId="0" fillId="54" borderId="1" xfId="0" applyFill="1" applyBorder="1"/>
    <xf numFmtId="0" fontId="0" fillId="59" borderId="6" xfId="0" applyFill="1" applyBorder="1"/>
    <xf numFmtId="0" fontId="0" fillId="59" borderId="0" xfId="0" applyFill="1"/>
    <xf numFmtId="0" fontId="0" fillId="60" borderId="0" xfId="0" applyFill="1"/>
    <xf numFmtId="0" fontId="0" fillId="60" borderId="6" xfId="0" applyFill="1" applyBorder="1"/>
    <xf numFmtId="0" fontId="13" fillId="60" borderId="0" xfId="0" applyFont="1" applyFill="1"/>
    <xf numFmtId="0" fontId="91" fillId="23" borderId="0" xfId="0" applyFont="1" applyFill="1"/>
    <xf numFmtId="0" fontId="0" fillId="30" borderId="6" xfId="0" applyFill="1" applyBorder="1" applyAlignment="1" applyProtection="1">
      <alignment wrapText="1"/>
      <protection locked="0"/>
    </xf>
    <xf numFmtId="0" fontId="0" fillId="29" borderId="0" xfId="0" applyFill="1" applyAlignment="1" applyProtection="1">
      <alignment wrapText="1"/>
      <protection locked="0"/>
    </xf>
    <xf numFmtId="2" fontId="0" fillId="29" borderId="0" xfId="0" applyNumberFormat="1" applyFill="1"/>
    <xf numFmtId="0" fontId="0" fillId="0" borderId="6" xfId="0" applyBorder="1" applyAlignment="1">
      <alignment horizontal="right"/>
    </xf>
    <xf numFmtId="17" fontId="0" fillId="0" borderId="6" xfId="0" quotePrefix="1" applyNumberFormat="1" applyBorder="1"/>
    <xf numFmtId="44" fontId="0" fillId="0" borderId="6" xfId="2" applyFont="1" applyFill="1" applyBorder="1"/>
    <xf numFmtId="0" fontId="0" fillId="0" borderId="199" xfId="0" applyBorder="1" applyAlignment="1">
      <alignment vertical="center" wrapText="1"/>
    </xf>
    <xf numFmtId="0" fontId="0" fillId="0" borderId="200" xfId="0" applyBorder="1" applyAlignment="1">
      <alignment vertical="center" wrapText="1"/>
    </xf>
    <xf numFmtId="44" fontId="0" fillId="0" borderId="6" xfId="2" applyFont="1" applyBorder="1"/>
    <xf numFmtId="0" fontId="0" fillId="58" borderId="0" xfId="0" applyFill="1"/>
    <xf numFmtId="0" fontId="2" fillId="50" borderId="178" xfId="0" applyFont="1" applyFill="1" applyBorder="1" applyAlignment="1">
      <alignment horizontal="left" indent="2"/>
    </xf>
    <xf numFmtId="0" fontId="0" fillId="18" borderId="32" xfId="0" applyFill="1" applyBorder="1" applyAlignment="1" applyProtection="1">
      <alignment horizontal="right" vertical="center"/>
      <protection locked="0"/>
    </xf>
    <xf numFmtId="0" fontId="0" fillId="15" borderId="37" xfId="0" applyFill="1" applyBorder="1"/>
    <xf numFmtId="0" fontId="0" fillId="39" borderId="19" xfId="0" applyFill="1" applyBorder="1"/>
    <xf numFmtId="0" fontId="0" fillId="31" borderId="77" xfId="0" applyFill="1" applyBorder="1" applyAlignment="1">
      <alignment horizontal="right"/>
    </xf>
    <xf numFmtId="0" fontId="0" fillId="31" borderId="26" xfId="0" applyFill="1" applyBorder="1"/>
    <xf numFmtId="0" fontId="0" fillId="13" borderId="33" xfId="0" applyFill="1" applyBorder="1"/>
    <xf numFmtId="2" fontId="0" fillId="13" borderId="27" xfId="0" applyNumberFormat="1" applyFill="1" applyBorder="1"/>
    <xf numFmtId="0" fontId="0" fillId="31" borderId="23" xfId="0" applyFill="1" applyBorder="1" applyAlignment="1">
      <alignment horizontal="right"/>
    </xf>
    <xf numFmtId="0" fontId="0" fillId="5" borderId="0" xfId="0" applyFill="1" applyAlignment="1">
      <alignment horizontal="center" vertical="center"/>
    </xf>
    <xf numFmtId="0" fontId="0" fillId="5" borderId="10" xfId="0" applyFill="1" applyBorder="1"/>
    <xf numFmtId="0" fontId="0" fillId="5" borderId="48" xfId="0" applyFill="1" applyBorder="1"/>
    <xf numFmtId="0" fontId="0" fillId="0" borderId="0" xfId="0" applyAlignment="1">
      <alignment vertical="center" wrapText="1"/>
    </xf>
    <xf numFmtId="164" fontId="30" fillId="27" borderId="6" xfId="0" applyNumberFormat="1" applyFont="1" applyFill="1" applyBorder="1" applyAlignment="1" applyProtection="1">
      <alignment vertical="center"/>
      <protection locked="0"/>
    </xf>
    <xf numFmtId="164" fontId="30" fillId="15" borderId="6" xfId="0" applyNumberFormat="1" applyFont="1" applyFill="1" applyBorder="1" applyAlignment="1" applyProtection="1">
      <alignment vertical="center"/>
      <protection locked="0"/>
    </xf>
    <xf numFmtId="164" fontId="30" fillId="31" borderId="6" xfId="0" applyNumberFormat="1" applyFont="1" applyFill="1" applyBorder="1" applyAlignment="1" applyProtection="1">
      <alignment vertical="center" wrapText="1"/>
      <protection locked="0"/>
    </xf>
    <xf numFmtId="0" fontId="30" fillId="0" borderId="6" xfId="0" applyFont="1" applyBorder="1" applyAlignment="1" applyProtection="1">
      <alignment horizontal="left" vertical="center" wrapText="1"/>
      <protection locked="0"/>
    </xf>
    <xf numFmtId="0" fontId="60" fillId="0" borderId="204" xfId="0" applyFont="1" applyBorder="1" applyProtection="1">
      <protection locked="0"/>
    </xf>
    <xf numFmtId="0" fontId="0" fillId="0" borderId="204" xfId="0" applyBorder="1" applyProtection="1">
      <protection locked="0"/>
    </xf>
    <xf numFmtId="0" fontId="82" fillId="26" borderId="205" xfId="4" applyFont="1" applyFill="1" applyBorder="1" applyAlignment="1">
      <alignment horizontal="center" vertical="center" wrapText="1"/>
    </xf>
    <xf numFmtId="2" fontId="2" fillId="4" borderId="0" xfId="0" applyNumberFormat="1" applyFont="1" applyFill="1"/>
    <xf numFmtId="165" fontId="0" fillId="0" borderId="0" xfId="0" applyNumberFormat="1"/>
    <xf numFmtId="0" fontId="0" fillId="15" borderId="26" xfId="0" applyFill="1" applyBorder="1" applyAlignment="1">
      <alignment horizontal="right"/>
    </xf>
    <xf numFmtId="0" fontId="0" fillId="27" borderId="33" xfId="0" applyFill="1" applyBorder="1" applyAlignment="1">
      <alignment horizontal="center" vertical="center" wrapText="1"/>
    </xf>
    <xf numFmtId="0" fontId="0" fillId="43" borderId="0" xfId="0" applyFill="1"/>
    <xf numFmtId="0" fontId="0" fillId="61" borderId="67" xfId="0" applyFill="1" applyBorder="1"/>
    <xf numFmtId="0" fontId="0" fillId="18" borderId="23" xfId="0" applyFill="1" applyBorder="1" applyAlignment="1">
      <alignment horizontal="right"/>
    </xf>
    <xf numFmtId="0" fontId="25" fillId="18" borderId="41" xfId="0" applyFont="1" applyFill="1" applyBorder="1" applyAlignment="1">
      <alignment horizontal="left"/>
    </xf>
    <xf numFmtId="0" fontId="0" fillId="21" borderId="0" xfId="0" applyFill="1"/>
    <xf numFmtId="0" fontId="0" fillId="21" borderId="0" xfId="0" applyFill="1" applyAlignment="1">
      <alignment horizontal="center" vertical="center"/>
    </xf>
    <xf numFmtId="0" fontId="0" fillId="0" borderId="26" xfId="0" applyBorder="1" applyAlignment="1">
      <alignment vertical="center" wrapText="1"/>
    </xf>
    <xf numFmtId="44" fontId="0" fillId="0" borderId="0" xfId="2" applyFont="1"/>
    <xf numFmtId="0" fontId="0" fillId="31" borderId="6" xfId="0" applyFill="1" applyBorder="1" applyAlignment="1">
      <alignment wrapText="1"/>
    </xf>
    <xf numFmtId="0" fontId="0" fillId="31" borderId="6" xfId="0" applyFill="1" applyBorder="1" applyAlignment="1">
      <alignment horizontal="center" wrapText="1"/>
    </xf>
    <xf numFmtId="0" fontId="92" fillId="0" borderId="0" xfId="0" applyFont="1"/>
    <xf numFmtId="0" fontId="0" fillId="49" borderId="6" xfId="0" applyFill="1" applyBorder="1" applyAlignment="1">
      <alignment wrapText="1"/>
    </xf>
    <xf numFmtId="0" fontId="12" fillId="50" borderId="6" xfId="0" applyFont="1" applyFill="1" applyBorder="1"/>
    <xf numFmtId="167" fontId="12" fillId="50" borderId="6" xfId="0" applyNumberFormat="1" applyFont="1" applyFill="1" applyBorder="1"/>
    <xf numFmtId="0" fontId="0" fillId="57" borderId="40" xfId="0" applyFill="1" applyBorder="1"/>
    <xf numFmtId="2" fontId="0" fillId="13" borderId="26" xfId="0" applyNumberFormat="1" applyFill="1" applyBorder="1"/>
    <xf numFmtId="44" fontId="0" fillId="62" borderId="0" xfId="2" applyFont="1" applyFill="1"/>
    <xf numFmtId="0" fontId="0" fillId="0" borderId="0" xfId="0" applyFill="1"/>
    <xf numFmtId="0" fontId="0" fillId="0" borderId="17" xfId="0" applyFill="1" applyBorder="1"/>
    <xf numFmtId="167" fontId="0" fillId="0" borderId="11" xfId="0" applyNumberFormat="1" applyFill="1" applyBorder="1"/>
    <xf numFmtId="167" fontId="0" fillId="0" borderId="0" xfId="0" applyNumberFormat="1" applyFill="1"/>
    <xf numFmtId="0" fontId="0" fillId="0" borderId="0" xfId="0" applyAlignment="1">
      <alignment wrapText="1"/>
    </xf>
    <xf numFmtId="0" fontId="0" fillId="15" borderId="6" xfId="0" applyFill="1" applyBorder="1" applyAlignment="1">
      <alignment horizontal="center"/>
    </xf>
    <xf numFmtId="0" fontId="0" fillId="31" borderId="33" xfId="0" applyFill="1" applyBorder="1"/>
    <xf numFmtId="0" fontId="0" fillId="14" borderId="26" xfId="0" applyFill="1" applyBorder="1" applyAlignment="1">
      <alignment horizontal="center"/>
    </xf>
    <xf numFmtId="0" fontId="0" fillId="14" borderId="67" xfId="0" applyFill="1" applyBorder="1" applyAlignment="1">
      <alignment horizontal="center"/>
    </xf>
    <xf numFmtId="0" fontId="0" fillId="14" borderId="41" xfId="0" applyFill="1" applyBorder="1" applyAlignment="1">
      <alignment horizontal="center"/>
    </xf>
    <xf numFmtId="0" fontId="0" fillId="24" borderId="6" xfId="0" applyFill="1" applyBorder="1" applyProtection="1">
      <protection locked="0"/>
    </xf>
    <xf numFmtId="0" fontId="23" fillId="31" borderId="6" xfId="0" applyFont="1" applyFill="1" applyBorder="1" applyProtection="1">
      <protection locked="0"/>
    </xf>
    <xf numFmtId="0" fontId="0" fillId="49" borderId="6" xfId="0" applyFill="1" applyBorder="1" applyAlignment="1">
      <alignment horizontal="center" vertical="center" wrapText="1"/>
    </xf>
    <xf numFmtId="2" fontId="0" fillId="34" borderId="26" xfId="0" applyNumberFormat="1" applyFill="1" applyBorder="1" applyAlignment="1">
      <alignment horizontal="right"/>
    </xf>
    <xf numFmtId="0" fontId="0" fillId="34" borderId="5" xfId="0" applyFill="1" applyBorder="1"/>
    <xf numFmtId="0" fontId="13" fillId="0" borderId="0" xfId="0" applyFont="1"/>
    <xf numFmtId="2" fontId="0" fillId="15" borderId="26" xfId="0" applyNumberFormat="1" applyFill="1" applyBorder="1" applyProtection="1">
      <protection locked="0"/>
    </xf>
    <xf numFmtId="170" fontId="24" fillId="34" borderId="27" xfId="0" applyNumberFormat="1" applyFont="1" applyFill="1" applyBorder="1" applyAlignment="1" applyProtection="1">
      <alignment horizontal="center"/>
      <protection locked="0"/>
    </xf>
    <xf numFmtId="0" fontId="39" fillId="0" borderId="0" xfId="0" applyFont="1"/>
    <xf numFmtId="0" fontId="0" fillId="0" borderId="0" xfId="0" applyAlignment="1" applyProtection="1">
      <alignment vertical="center" wrapText="1"/>
      <protection locked="0"/>
    </xf>
    <xf numFmtId="0" fontId="2" fillId="0" borderId="116" xfId="0" applyFont="1" applyFill="1" applyBorder="1" applyProtection="1">
      <protection locked="0"/>
    </xf>
    <xf numFmtId="164" fontId="25" fillId="13" borderId="6" xfId="0" applyNumberFormat="1" applyFont="1" applyFill="1" applyBorder="1"/>
    <xf numFmtId="169" fontId="25" fillId="13" borderId="6" xfId="0" applyNumberFormat="1" applyFont="1" applyFill="1" applyBorder="1"/>
    <xf numFmtId="164" fontId="0" fillId="15" borderId="209" xfId="0" applyNumberFormat="1" applyFill="1" applyBorder="1" applyProtection="1">
      <protection locked="0"/>
    </xf>
    <xf numFmtId="2" fontId="41" fillId="0" borderId="210" xfId="0" applyNumberFormat="1" applyFont="1" applyBorder="1"/>
    <xf numFmtId="0" fontId="41" fillId="22" borderId="212" xfId="0" applyFont="1" applyFill="1" applyBorder="1"/>
    <xf numFmtId="0" fontId="41" fillId="22" borderId="211" xfId="0" applyFont="1" applyFill="1" applyBorder="1"/>
    <xf numFmtId="10" fontId="41" fillId="0" borderId="213" xfId="0" applyNumberFormat="1" applyFont="1" applyBorder="1"/>
    <xf numFmtId="0" fontId="2" fillId="0" borderId="6" xfId="0" applyFont="1" applyBorder="1" applyAlignment="1">
      <alignment vertical="center"/>
    </xf>
    <xf numFmtId="165" fontId="25" fillId="13" borderId="4" xfId="0" applyNumberFormat="1" applyFont="1" applyFill="1" applyBorder="1"/>
    <xf numFmtId="0" fontId="0" fillId="23" borderId="13" xfId="0" applyFill="1" applyBorder="1"/>
    <xf numFmtId="0" fontId="0" fillId="0" borderId="40" xfId="0" applyBorder="1" applyAlignment="1" applyProtection="1">
      <alignment wrapText="1"/>
      <protection locked="0"/>
    </xf>
    <xf numFmtId="0" fontId="0" fillId="0" borderId="81" xfId="0" applyBorder="1" applyProtection="1">
      <protection locked="0"/>
    </xf>
    <xf numFmtId="169" fontId="0" fillId="34" borderId="130" xfId="0" applyNumberFormat="1" applyFill="1" applyBorder="1" applyAlignment="1">
      <alignment horizontal="center" vertical="center" wrapText="1"/>
    </xf>
    <xf numFmtId="164" fontId="0" fillId="34" borderId="117" xfId="0" applyNumberFormat="1" applyFill="1" applyBorder="1" applyAlignment="1">
      <alignment horizontal="center" vertical="center" wrapText="1"/>
    </xf>
    <xf numFmtId="164" fontId="0" fillId="34" borderId="214" xfId="0" applyNumberFormat="1" applyFill="1" applyBorder="1" applyAlignment="1">
      <alignment horizontal="center" vertical="center" wrapText="1"/>
    </xf>
    <xf numFmtId="0" fontId="0" fillId="31" borderId="4" xfId="0" applyFill="1" applyBorder="1" applyProtection="1">
      <protection locked="0"/>
    </xf>
    <xf numFmtId="0" fontId="0" fillId="31" borderId="6" xfId="0" applyFill="1" applyBorder="1" applyProtection="1">
      <protection locked="0"/>
    </xf>
    <xf numFmtId="0" fontId="0" fillId="31" borderId="40" xfId="0" applyFill="1" applyBorder="1" applyAlignment="1" applyProtection="1">
      <alignment horizontal="left"/>
      <protection locked="0"/>
    </xf>
    <xf numFmtId="0" fontId="0" fillId="0" borderId="6" xfId="0" applyBorder="1" applyAlignment="1">
      <alignment horizontal="center" vertical="center"/>
    </xf>
    <xf numFmtId="14" fontId="0" fillId="0" borderId="6" xfId="0" applyNumberFormat="1" applyBorder="1" applyAlignment="1">
      <alignment horizontal="center" vertical="center"/>
    </xf>
    <xf numFmtId="14" fontId="0" fillId="0" borderId="6" xfId="0" applyNumberFormat="1" applyBorder="1" applyAlignment="1" applyProtection="1">
      <alignment horizontal="left"/>
      <protection locked="0"/>
    </xf>
    <xf numFmtId="0" fontId="13" fillId="0" borderId="11" xfId="0" applyFont="1" applyBorder="1" applyProtection="1">
      <protection locked="0"/>
    </xf>
    <xf numFmtId="0" fontId="13" fillId="46" borderId="29" xfId="0" applyFont="1" applyFill="1" applyBorder="1" applyProtection="1">
      <protection locked="0"/>
    </xf>
    <xf numFmtId="0" fontId="13" fillId="46" borderId="13" xfId="0" applyFont="1" applyFill="1" applyBorder="1" applyProtection="1">
      <protection locked="0"/>
    </xf>
    <xf numFmtId="0" fontId="13" fillId="46" borderId="14" xfId="0" applyFont="1" applyFill="1" applyBorder="1" applyProtection="1">
      <protection locked="0"/>
    </xf>
    <xf numFmtId="0" fontId="13" fillId="24" borderId="102" xfId="0" applyFont="1" applyFill="1" applyBorder="1" applyProtection="1">
      <protection locked="0"/>
    </xf>
    <xf numFmtId="0" fontId="17" fillId="24" borderId="0" xfId="0" applyFont="1" applyFill="1" applyProtection="1">
      <protection locked="0"/>
    </xf>
    <xf numFmtId="0" fontId="17" fillId="24" borderId="105" xfId="0" applyFont="1" applyFill="1" applyBorder="1" applyProtection="1">
      <protection locked="0"/>
    </xf>
    <xf numFmtId="0" fontId="17" fillId="24" borderId="97" xfId="0" applyFont="1" applyFill="1" applyBorder="1" applyProtection="1">
      <protection locked="0"/>
    </xf>
    <xf numFmtId="0" fontId="13" fillId="24" borderId="97" xfId="0" applyFont="1" applyFill="1" applyBorder="1" applyProtection="1">
      <protection locked="0"/>
    </xf>
    <xf numFmtId="0" fontId="17" fillId="44" borderId="191" xfId="0" applyFont="1" applyFill="1" applyBorder="1" applyProtection="1">
      <protection locked="0"/>
    </xf>
    <xf numFmtId="0" fontId="13" fillId="44" borderId="140" xfId="0" applyFont="1" applyFill="1" applyBorder="1" applyProtection="1">
      <protection locked="0"/>
    </xf>
    <xf numFmtId="0" fontId="13" fillId="45" borderId="150" xfId="0" applyFont="1" applyFill="1" applyBorder="1" applyProtection="1">
      <protection locked="0"/>
    </xf>
    <xf numFmtId="0" fontId="13" fillId="45" borderId="149" xfId="0" applyFont="1" applyFill="1" applyBorder="1" applyProtection="1">
      <protection locked="0"/>
    </xf>
    <xf numFmtId="0" fontId="13" fillId="24" borderId="29" xfId="0" applyFont="1" applyFill="1" applyBorder="1" applyProtection="1">
      <protection locked="0"/>
    </xf>
    <xf numFmtId="0" fontId="13" fillId="24" borderId="19" xfId="0" applyFont="1" applyFill="1" applyBorder="1" applyProtection="1">
      <protection locked="0"/>
    </xf>
    <xf numFmtId="0" fontId="13" fillId="24" borderId="13" xfId="0" applyFont="1" applyFill="1" applyBorder="1" applyProtection="1">
      <protection locked="0"/>
    </xf>
    <xf numFmtId="0" fontId="13" fillId="24" borderId="14" xfId="0" applyFont="1" applyFill="1" applyBorder="1" applyProtection="1">
      <protection locked="0"/>
    </xf>
    <xf numFmtId="0" fontId="13" fillId="55" borderId="0" xfId="0" applyFont="1" applyFill="1" applyProtection="1">
      <protection locked="0"/>
    </xf>
    <xf numFmtId="0" fontId="13" fillId="55" borderId="13" xfId="0" applyFont="1" applyFill="1" applyBorder="1" applyProtection="1">
      <protection locked="0"/>
    </xf>
    <xf numFmtId="0" fontId="13" fillId="55" borderId="14" xfId="0" applyFont="1" applyFill="1" applyBorder="1" applyProtection="1">
      <protection locked="0"/>
    </xf>
    <xf numFmtId="1" fontId="13" fillId="22" borderId="0" xfId="0" applyNumberFormat="1" applyFont="1" applyFill="1"/>
    <xf numFmtId="0" fontId="13" fillId="0" borderId="15" xfId="0" applyFont="1" applyBorder="1" applyProtection="1">
      <protection locked="0"/>
    </xf>
    <xf numFmtId="0" fontId="0" fillId="0" borderId="0" xfId="0" quotePrefix="1" applyAlignment="1">
      <alignment horizontal="center"/>
    </xf>
    <xf numFmtId="0" fontId="60" fillId="0" borderId="0" xfId="0" applyFont="1" applyAlignment="1" applyProtection="1">
      <alignment horizontal="left" wrapText="1"/>
      <protection locked="0"/>
    </xf>
    <xf numFmtId="0" fontId="34" fillId="0" borderId="0" xfId="0" applyFont="1" applyAlignment="1">
      <alignment horizontal="center" vertical="center" wrapText="1"/>
    </xf>
    <xf numFmtId="0" fontId="29" fillId="0" borderId="0" xfId="0" applyFont="1" applyAlignment="1">
      <alignment horizontal="center" vertical="center" wrapText="1"/>
    </xf>
    <xf numFmtId="1" fontId="0" fillId="0" borderId="23" xfId="0" applyNumberFormat="1" applyBorder="1" applyAlignment="1" applyProtection="1">
      <alignment horizontal="left"/>
      <protection locked="0"/>
    </xf>
    <xf numFmtId="1" fontId="0" fillId="0" borderId="24" xfId="0" applyNumberFormat="1" applyBorder="1" applyAlignment="1" applyProtection="1">
      <alignment horizontal="left"/>
      <protection locked="0"/>
    </xf>
    <xf numFmtId="1" fontId="0" fillId="0" borderId="37" xfId="0" applyNumberFormat="1" applyBorder="1" applyAlignment="1" applyProtection="1">
      <alignment horizontal="left"/>
      <protection locked="0"/>
    </xf>
    <xf numFmtId="1" fontId="0" fillId="0" borderId="6" xfId="0" applyNumberFormat="1" applyBorder="1" applyAlignment="1" applyProtection="1">
      <alignment horizontal="left" vertical="center" wrapText="1"/>
      <protection locked="0"/>
    </xf>
    <xf numFmtId="1" fontId="0" fillId="0" borderId="6" xfId="0" applyNumberFormat="1" applyBorder="1" applyAlignment="1" applyProtection="1">
      <alignment horizontal="left" wrapText="1"/>
      <protection locked="0"/>
    </xf>
    <xf numFmtId="0" fontId="0" fillId="0" borderId="23" xfId="0" applyBorder="1" applyAlignment="1" applyProtection="1">
      <alignment horizontal="left" vertical="center" wrapText="1"/>
      <protection locked="0"/>
    </xf>
    <xf numFmtId="0" fontId="0" fillId="0" borderId="24" xfId="0" applyBorder="1" applyAlignment="1" applyProtection="1">
      <alignment horizontal="left" vertical="center" wrapText="1"/>
      <protection locked="0"/>
    </xf>
    <xf numFmtId="0" fontId="0" fillId="0" borderId="179" xfId="0" applyBorder="1" applyAlignment="1" applyProtection="1">
      <alignment horizontal="left" vertical="center" wrapText="1"/>
      <protection locked="0"/>
    </xf>
    <xf numFmtId="0" fontId="0" fillId="0" borderId="37" xfId="0" applyBorder="1" applyAlignment="1" applyProtection="1">
      <alignment horizontal="left" vertical="center" wrapText="1"/>
      <protection locked="0"/>
    </xf>
    <xf numFmtId="0" fontId="82" fillId="29" borderId="23" xfId="4" applyFont="1" applyFill="1" applyBorder="1" applyAlignment="1" applyProtection="1">
      <alignment horizontal="left"/>
      <protection locked="0"/>
    </xf>
    <xf numFmtId="0" fontId="82" fillId="29" borderId="24" xfId="4" applyFont="1" applyFill="1" applyBorder="1" applyAlignment="1" applyProtection="1">
      <alignment horizontal="left"/>
      <protection locked="0"/>
    </xf>
    <xf numFmtId="0" fontId="82" fillId="29" borderId="37" xfId="4" applyFont="1" applyFill="1" applyBorder="1" applyAlignment="1" applyProtection="1">
      <alignment horizontal="left"/>
      <protection locked="0"/>
    </xf>
    <xf numFmtId="0" fontId="82" fillId="29" borderId="49" xfId="4" applyFont="1" applyFill="1" applyBorder="1" applyAlignment="1" applyProtection="1">
      <alignment horizontal="left"/>
      <protection locked="0"/>
    </xf>
    <xf numFmtId="0" fontId="82" fillId="29" borderId="50" xfId="4" applyFont="1" applyFill="1" applyBorder="1" applyAlignment="1" applyProtection="1">
      <alignment horizontal="left"/>
      <protection locked="0"/>
    </xf>
    <xf numFmtId="0" fontId="82" fillId="29" borderId="51" xfId="4" applyFont="1" applyFill="1" applyBorder="1" applyAlignment="1" applyProtection="1">
      <alignment horizontal="left"/>
      <protection locked="0"/>
    </xf>
    <xf numFmtId="0" fontId="17" fillId="29" borderId="49" xfId="0" applyFont="1" applyFill="1" applyBorder="1" applyAlignment="1" applyProtection="1">
      <alignment horizontal="left"/>
      <protection locked="0"/>
    </xf>
    <xf numFmtId="0" fontId="17" fillId="29" borderId="50" xfId="0" applyFont="1" applyFill="1" applyBorder="1" applyAlignment="1" applyProtection="1">
      <alignment horizontal="left"/>
      <protection locked="0"/>
    </xf>
    <xf numFmtId="0" fontId="17" fillId="29" borderId="51" xfId="0" applyFont="1" applyFill="1" applyBorder="1" applyAlignment="1" applyProtection="1">
      <alignment horizontal="left"/>
      <protection locked="0"/>
    </xf>
    <xf numFmtId="0" fontId="17" fillId="29" borderId="23" xfId="0" applyFont="1" applyFill="1" applyBorder="1" applyAlignment="1" applyProtection="1">
      <alignment horizontal="left"/>
      <protection locked="0"/>
    </xf>
    <xf numFmtId="0" fontId="17" fillId="29" borderId="24" xfId="0" applyFont="1" applyFill="1" applyBorder="1" applyAlignment="1" applyProtection="1">
      <alignment horizontal="left"/>
      <protection locked="0"/>
    </xf>
    <xf numFmtId="0" fontId="17" fillId="29" borderId="37" xfId="0" applyFont="1" applyFill="1" applyBorder="1" applyAlignment="1" applyProtection="1">
      <alignment horizontal="left"/>
      <protection locked="0"/>
    </xf>
    <xf numFmtId="0" fontId="0" fillId="0" borderId="0" xfId="0" applyAlignment="1" applyProtection="1">
      <alignment horizontal="center" vertical="center" wrapText="1"/>
      <protection locked="0"/>
    </xf>
    <xf numFmtId="1" fontId="0" fillId="0" borderId="23" xfId="0" applyNumberFormat="1" applyBorder="1" applyAlignment="1" applyProtection="1">
      <alignment horizontal="left" vertical="center" wrapText="1"/>
      <protection locked="0"/>
    </xf>
    <xf numFmtId="1" fontId="0" fillId="0" borderId="24" xfId="0" applyNumberFormat="1" applyBorder="1" applyAlignment="1" applyProtection="1">
      <alignment horizontal="left" vertical="center" wrapText="1"/>
      <protection locked="0"/>
    </xf>
    <xf numFmtId="1" fontId="0" fillId="0" borderId="37" xfId="0" applyNumberFormat="1" applyBorder="1" applyAlignment="1" applyProtection="1">
      <alignment horizontal="left" vertical="center" wrapText="1"/>
      <protection locked="0"/>
    </xf>
    <xf numFmtId="1" fontId="0" fillId="0" borderId="31" xfId="0" applyNumberFormat="1" applyBorder="1" applyAlignment="1" applyProtection="1">
      <alignment horizontal="left" wrapText="1"/>
      <protection locked="0"/>
    </xf>
    <xf numFmtId="0" fontId="0" fillId="0" borderId="57" xfId="0" applyBorder="1" applyAlignment="1">
      <alignment horizontal="left" vertical="center" wrapText="1"/>
    </xf>
    <xf numFmtId="0" fontId="0" fillId="0" borderId="58" xfId="0" applyBorder="1" applyAlignment="1">
      <alignment horizontal="left" vertical="center" wrapText="1"/>
    </xf>
    <xf numFmtId="0" fontId="0" fillId="0" borderId="59" xfId="0" applyBorder="1" applyAlignment="1">
      <alignment horizontal="left" vertical="center" wrapText="1"/>
    </xf>
    <xf numFmtId="0" fontId="0" fillId="0" borderId="62" xfId="0" applyBorder="1" applyAlignment="1">
      <alignment horizontal="left" vertical="center" wrapText="1"/>
    </xf>
    <xf numFmtId="0" fontId="0" fillId="0" borderId="135" xfId="0" applyBorder="1" applyAlignment="1">
      <alignment horizontal="left" vertical="center" wrapText="1"/>
    </xf>
    <xf numFmtId="0" fontId="0" fillId="0" borderId="136" xfId="0" applyBorder="1" applyAlignment="1">
      <alignment horizontal="left" vertical="center" wrapText="1"/>
    </xf>
    <xf numFmtId="0" fontId="0" fillId="0" borderId="49" xfId="0" applyBorder="1" applyAlignment="1" applyProtection="1">
      <alignment horizontal="left" vertical="center" wrapText="1"/>
      <protection locked="0"/>
    </xf>
    <xf numFmtId="0" fontId="0" fillId="0" borderId="50" xfId="0" applyBorder="1" applyAlignment="1" applyProtection="1">
      <alignment horizontal="left" vertical="center" wrapText="1"/>
      <protection locked="0"/>
    </xf>
    <xf numFmtId="0" fontId="0" fillId="0" borderId="5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48" xfId="0" applyBorder="1" applyAlignment="1" applyProtection="1">
      <alignment horizontal="left" vertical="center" wrapText="1"/>
      <protection locked="0"/>
    </xf>
    <xf numFmtId="0" fontId="0" fillId="0" borderId="36" xfId="0" applyBorder="1" applyAlignment="1" applyProtection="1">
      <alignment horizontal="left" vertical="center" wrapText="1"/>
      <protection locked="0"/>
    </xf>
    <xf numFmtId="0" fontId="74" fillId="0" borderId="6" xfId="0" applyFont="1" applyBorder="1" applyAlignment="1">
      <alignment horizontal="left" vertical="center" wrapText="1"/>
    </xf>
    <xf numFmtId="0" fontId="0" fillId="0" borderId="0" xfId="0"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1" fontId="0" fillId="0" borderId="6" xfId="0" applyNumberFormat="1" applyBorder="1" applyAlignment="1" applyProtection="1">
      <alignment horizontal="left" vertical="center"/>
      <protection locked="0"/>
    </xf>
    <xf numFmtId="0" fontId="0" fillId="0" borderId="60" xfId="0" applyBorder="1" applyAlignment="1" applyProtection="1">
      <alignment wrapText="1"/>
      <protection locked="0"/>
    </xf>
    <xf numFmtId="0" fontId="0" fillId="0" borderId="0" xfId="0" applyAlignment="1"/>
    <xf numFmtId="0" fontId="0" fillId="0" borderId="61" xfId="0" applyBorder="1" applyAlignment="1"/>
    <xf numFmtId="0" fontId="0" fillId="0" borderId="60" xfId="0" applyBorder="1" applyAlignment="1" applyProtection="1">
      <protection locked="0"/>
    </xf>
    <xf numFmtId="0" fontId="0" fillId="0" borderId="58" xfId="0" applyBorder="1" applyAlignment="1"/>
    <xf numFmtId="0" fontId="0" fillId="0" borderId="59" xfId="0" applyBorder="1" applyAlignment="1"/>
    <xf numFmtId="0" fontId="0" fillId="0" borderId="23" xfId="0" applyBorder="1" applyAlignment="1" applyProtection="1">
      <alignment horizontal="left" vertical="center"/>
      <protection locked="0"/>
    </xf>
    <xf numFmtId="0" fontId="0" fillId="0" borderId="24" xfId="0" applyBorder="1" applyAlignment="1" applyProtection="1">
      <alignment horizontal="left" vertical="center"/>
      <protection locked="0"/>
    </xf>
    <xf numFmtId="0" fontId="0" fillId="0" borderId="37" xfId="0" applyBorder="1" applyAlignment="1" applyProtection="1">
      <alignment horizontal="left" vertical="center"/>
      <protection locked="0"/>
    </xf>
    <xf numFmtId="0" fontId="0" fillId="15" borderId="6" xfId="0" applyFill="1" applyBorder="1" applyAlignment="1">
      <alignment horizontal="center" vertical="center"/>
    </xf>
    <xf numFmtId="0" fontId="0" fillId="15" borderId="173" xfId="0" applyFill="1" applyBorder="1" applyAlignment="1">
      <alignment horizontal="center" vertical="center"/>
    </xf>
    <xf numFmtId="169" fontId="84" fillId="13" borderId="49" xfId="6" applyNumberFormat="1" applyFont="1" applyFill="1" applyBorder="1" applyAlignment="1">
      <alignment horizontal="center" vertical="center"/>
    </xf>
    <xf numFmtId="169" fontId="84" fillId="13" borderId="174" xfId="6" applyNumberFormat="1" applyFont="1" applyFill="1" applyBorder="1" applyAlignment="1">
      <alignment horizontal="center" vertical="center"/>
    </xf>
    <xf numFmtId="169" fontId="70" fillId="13" borderId="176" xfId="6" applyNumberFormat="1" applyFont="1" applyFill="1" applyBorder="1" applyAlignment="1">
      <alignment horizontal="center" vertical="center"/>
    </xf>
    <xf numFmtId="169" fontId="70" fillId="13" borderId="177" xfId="6" applyNumberFormat="1" applyFont="1" applyFill="1" applyBorder="1" applyAlignment="1">
      <alignment horizontal="center" vertical="center"/>
    </xf>
    <xf numFmtId="1" fontId="39" fillId="0" borderId="6" xfId="4" applyNumberFormat="1" applyFont="1" applyBorder="1" applyAlignment="1" applyProtection="1">
      <alignment horizontal="left" vertical="center"/>
      <protection locked="0"/>
    </xf>
    <xf numFmtId="0" fontId="0" fillId="0" borderId="0" xfId="0" applyAlignment="1" applyProtection="1">
      <alignment wrapText="1"/>
      <protection locked="0"/>
    </xf>
    <xf numFmtId="0" fontId="0" fillId="0" borderId="0" xfId="0" applyAlignment="1">
      <alignment wrapText="1"/>
    </xf>
    <xf numFmtId="9" fontId="71" fillId="0" borderId="23" xfId="1" applyFont="1" applyBorder="1" applyAlignment="1" applyProtection="1">
      <alignment horizontal="left" vertical="center" wrapText="1"/>
      <protection locked="0"/>
    </xf>
    <xf numFmtId="9" fontId="0" fillId="0" borderId="24" xfId="1" applyFont="1" applyBorder="1" applyAlignment="1" applyProtection="1">
      <alignment horizontal="left" vertical="center" wrapText="1"/>
      <protection locked="0"/>
    </xf>
    <xf numFmtId="9" fontId="0" fillId="0" borderId="37" xfId="1" applyFont="1" applyBorder="1" applyAlignment="1" applyProtection="1">
      <alignment horizontal="left" vertical="center" wrapText="1"/>
      <protection locked="0"/>
    </xf>
    <xf numFmtId="164" fontId="0" fillId="0" borderId="23" xfId="0" applyNumberFormat="1" applyBorder="1" applyAlignment="1" applyProtection="1">
      <alignment horizontal="left" wrapText="1"/>
      <protection locked="0"/>
    </xf>
    <xf numFmtId="164" fontId="0" fillId="0" borderId="24" xfId="0" applyNumberFormat="1" applyBorder="1" applyAlignment="1" applyProtection="1">
      <alignment horizontal="left"/>
      <protection locked="0"/>
    </xf>
    <xf numFmtId="164" fontId="0" fillId="0" borderId="37" xfId="0" applyNumberFormat="1" applyBorder="1" applyAlignment="1" applyProtection="1">
      <alignment horizontal="left"/>
      <protection locked="0"/>
    </xf>
    <xf numFmtId="0" fontId="21" fillId="0" borderId="0" xfId="0" applyFont="1" applyAlignment="1" applyProtection="1">
      <alignment wrapText="1"/>
      <protection locked="0"/>
    </xf>
    <xf numFmtId="0" fontId="0" fillId="0" borderId="49" xfId="0" applyBorder="1" applyAlignment="1" applyProtection="1">
      <alignment horizontal="left" wrapText="1"/>
      <protection locked="0"/>
    </xf>
    <xf numFmtId="0" fontId="0" fillId="0" borderId="50" xfId="0" applyBorder="1" applyAlignment="1" applyProtection="1">
      <alignment horizontal="left" wrapText="1"/>
      <protection locked="0"/>
    </xf>
    <xf numFmtId="0" fontId="0" fillId="0" borderId="51" xfId="0" applyBorder="1" applyAlignment="1" applyProtection="1">
      <alignment horizontal="left" wrapText="1"/>
      <protection locked="0"/>
    </xf>
    <xf numFmtId="0" fontId="0" fillId="0" borderId="70" xfId="0" applyBorder="1" applyAlignment="1" applyProtection="1">
      <alignment horizontal="left" wrapText="1"/>
      <protection locked="0"/>
    </xf>
    <xf numFmtId="0" fontId="0" fillId="0" borderId="0" xfId="0" applyAlignment="1" applyProtection="1">
      <alignment horizontal="left" wrapText="1"/>
      <protection locked="0"/>
    </xf>
    <xf numFmtId="0" fontId="0" fillId="0" borderId="63" xfId="0" applyBorder="1" applyAlignment="1" applyProtection="1">
      <alignment horizontal="left" wrapText="1"/>
      <protection locked="0"/>
    </xf>
    <xf numFmtId="0" fontId="0" fillId="0" borderId="65" xfId="0" applyBorder="1" applyAlignment="1" applyProtection="1">
      <alignment horizontal="left" wrapText="1"/>
      <protection locked="0"/>
    </xf>
    <xf numFmtId="0" fontId="0" fillId="0" borderId="48" xfId="0" applyBorder="1" applyAlignment="1" applyProtection="1">
      <alignment horizontal="left" wrapText="1"/>
      <protection locked="0"/>
    </xf>
    <xf numFmtId="0" fontId="0" fillId="0" borderId="36" xfId="0" applyBorder="1" applyAlignment="1" applyProtection="1">
      <alignment horizontal="left" wrapText="1"/>
      <protection locked="0"/>
    </xf>
    <xf numFmtId="0" fontId="0" fillId="0" borderId="49" xfId="0" applyBorder="1" applyAlignment="1" applyProtection="1">
      <alignment horizontal="left" vertical="top" wrapText="1"/>
      <protection locked="0"/>
    </xf>
    <xf numFmtId="0" fontId="0" fillId="0" borderId="50" xfId="0" applyBorder="1" applyAlignment="1" applyProtection="1">
      <alignment horizontal="left" vertical="top" wrapText="1"/>
      <protection locked="0"/>
    </xf>
    <xf numFmtId="0" fontId="0" fillId="0" borderId="51" xfId="0" applyBorder="1" applyAlignment="1" applyProtection="1">
      <alignment horizontal="left" vertical="top" wrapText="1"/>
      <protection locked="0"/>
    </xf>
    <xf numFmtId="0" fontId="0" fillId="0" borderId="65" xfId="0" applyBorder="1" applyAlignment="1" applyProtection="1">
      <alignment horizontal="left" vertical="top" wrapText="1"/>
      <protection locked="0"/>
    </xf>
    <xf numFmtId="0" fontId="0" fillId="0" borderId="48" xfId="0" applyBorder="1" applyAlignment="1" applyProtection="1">
      <alignment horizontal="left" vertical="top" wrapText="1"/>
      <protection locked="0"/>
    </xf>
    <xf numFmtId="0" fontId="0" fillId="0" borderId="36" xfId="0" applyBorder="1" applyAlignment="1" applyProtection="1">
      <alignment horizontal="left" vertical="top" wrapText="1"/>
      <protection locked="0"/>
    </xf>
    <xf numFmtId="164" fontId="0" fillId="0" borderId="49" xfId="0" applyNumberFormat="1" applyBorder="1" applyAlignment="1" applyProtection="1">
      <alignment horizontal="left" wrapText="1"/>
      <protection locked="0"/>
    </xf>
    <xf numFmtId="164" fontId="0" fillId="0" borderId="50" xfId="0" applyNumberFormat="1" applyBorder="1" applyAlignment="1" applyProtection="1">
      <alignment horizontal="left" wrapText="1"/>
      <protection locked="0"/>
    </xf>
    <xf numFmtId="164" fontId="0" fillId="0" borderId="51" xfId="0" applyNumberFormat="1" applyBorder="1" applyAlignment="1" applyProtection="1">
      <alignment horizontal="left" wrapText="1"/>
      <protection locked="0"/>
    </xf>
    <xf numFmtId="0" fontId="0" fillId="0" borderId="65" xfId="0" applyBorder="1" applyAlignment="1"/>
    <xf numFmtId="0" fontId="0" fillId="0" borderId="48" xfId="0" applyBorder="1" applyAlignment="1"/>
    <xf numFmtId="0" fontId="0" fillId="0" borderId="36" xfId="0" applyBorder="1" applyAlignment="1"/>
    <xf numFmtId="0" fontId="0" fillId="22" borderId="49" xfId="0" applyFill="1" applyBorder="1" applyAlignment="1" applyProtection="1">
      <alignment wrapText="1"/>
      <protection locked="0"/>
    </xf>
    <xf numFmtId="0" fontId="0" fillId="0" borderId="50" xfId="0" applyBorder="1" applyAlignment="1">
      <alignment wrapText="1"/>
    </xf>
    <xf numFmtId="0" fontId="0" fillId="0" borderId="51" xfId="0" applyBorder="1" applyAlignment="1">
      <alignment wrapText="1"/>
    </xf>
    <xf numFmtId="0" fontId="0" fillId="0" borderId="65" xfId="0" applyBorder="1" applyAlignment="1">
      <alignment wrapText="1"/>
    </xf>
    <xf numFmtId="0" fontId="0" fillId="0" borderId="48" xfId="0" applyBorder="1" applyAlignment="1">
      <alignment wrapText="1"/>
    </xf>
    <xf numFmtId="0" fontId="0" fillId="0" borderId="36" xfId="0" applyBorder="1" applyAlignment="1">
      <alignment wrapText="1"/>
    </xf>
    <xf numFmtId="164" fontId="0" fillId="0" borderId="65" xfId="0" applyNumberFormat="1" applyBorder="1" applyAlignment="1" applyProtection="1">
      <protection locked="0"/>
    </xf>
    <xf numFmtId="0" fontId="0" fillId="0" borderId="24" xfId="0" applyBorder="1" applyAlignment="1"/>
    <xf numFmtId="0" fontId="0" fillId="0" borderId="37" xfId="0" applyBorder="1" applyAlignment="1"/>
    <xf numFmtId="0" fontId="0" fillId="0" borderId="23" xfId="0" applyBorder="1" applyAlignment="1" applyProtection="1">
      <protection locked="0"/>
    </xf>
    <xf numFmtId="2" fontId="2" fillId="0" borderId="20" xfId="0" applyNumberFormat="1" applyFont="1" applyBorder="1" applyAlignment="1" applyProtection="1">
      <alignment horizontal="center" vertical="center" wrapText="1"/>
      <protection locked="0"/>
    </xf>
    <xf numFmtId="0" fontId="0" fillId="0" borderId="16" xfId="0" applyBorder="1" applyAlignment="1"/>
    <xf numFmtId="0" fontId="0" fillId="0" borderId="12" xfId="0" applyBorder="1" applyAlignment="1"/>
    <xf numFmtId="0" fontId="0" fillId="0" borderId="0" xfId="0" applyAlignment="1" applyProtection="1">
      <alignment vertical="center" wrapText="1"/>
      <protection locked="0"/>
    </xf>
    <xf numFmtId="0" fontId="0" fillId="0" borderId="0" xfId="0" applyAlignment="1">
      <alignment vertical="center" wrapText="1"/>
    </xf>
    <xf numFmtId="1" fontId="0" fillId="0" borderId="49" xfId="0" applyNumberFormat="1" applyBorder="1" applyAlignment="1" applyProtection="1">
      <alignment wrapText="1"/>
      <protection locked="0"/>
    </xf>
    <xf numFmtId="0" fontId="0" fillId="0" borderId="48" xfId="0" applyBorder="1" applyAlignment="1" applyProtection="1">
      <protection locked="0"/>
    </xf>
    <xf numFmtId="2" fontId="2" fillId="0" borderId="16" xfId="0" applyNumberFormat="1" applyFont="1" applyBorder="1" applyAlignment="1" applyProtection="1">
      <alignment horizontal="center" vertical="center" wrapText="1"/>
      <protection locked="0"/>
    </xf>
    <xf numFmtId="2" fontId="2" fillId="0" borderId="12" xfId="0" applyNumberFormat="1" applyFont="1" applyBorder="1" applyAlignment="1" applyProtection="1">
      <alignment horizontal="center" vertical="center" wrapText="1"/>
      <protection locked="0"/>
    </xf>
    <xf numFmtId="0" fontId="0" fillId="0" borderId="23" xfId="0" applyBorder="1" applyAlignment="1" applyProtection="1">
      <alignment horizontal="left"/>
      <protection locked="0"/>
    </xf>
    <xf numFmtId="0" fontId="0" fillId="0" borderId="24" xfId="0" applyBorder="1" applyAlignment="1" applyProtection="1">
      <alignment horizontal="left"/>
      <protection locked="0"/>
    </xf>
    <xf numFmtId="0" fontId="0" fillId="0" borderId="37" xfId="0" applyBorder="1" applyAlignment="1" applyProtection="1">
      <alignment horizontal="left"/>
      <protection locked="0"/>
    </xf>
    <xf numFmtId="0" fontId="74" fillId="22" borderId="23" xfId="0" applyFont="1" applyFill="1" applyBorder="1" applyAlignment="1">
      <alignment wrapText="1"/>
    </xf>
    <xf numFmtId="0" fontId="74" fillId="22" borderId="24" xfId="0" applyFont="1" applyFill="1" applyBorder="1" applyAlignment="1">
      <alignment wrapText="1"/>
    </xf>
    <xf numFmtId="0" fontId="74" fillId="22" borderId="37" xfId="0" applyFont="1" applyFill="1" applyBorder="1" applyAlignment="1">
      <alignment wrapText="1"/>
    </xf>
    <xf numFmtId="0" fontId="0" fillId="0" borderId="23" xfId="0" applyBorder="1" applyAlignment="1" applyProtection="1">
      <alignment horizontal="left" wrapText="1"/>
      <protection locked="0"/>
    </xf>
    <xf numFmtId="0" fontId="0" fillId="0" borderId="24" xfId="0" applyBorder="1" applyAlignment="1" applyProtection="1">
      <alignment horizontal="left" wrapText="1"/>
      <protection locked="0"/>
    </xf>
    <xf numFmtId="0" fontId="0" fillId="0" borderId="37" xfId="0" applyBorder="1" applyAlignment="1" applyProtection="1">
      <alignment horizontal="left" wrapText="1"/>
      <protection locked="0"/>
    </xf>
    <xf numFmtId="164" fontId="0" fillId="0" borderId="23" xfId="0" applyNumberFormat="1" applyBorder="1" applyAlignment="1" applyProtection="1">
      <alignment vertical="center" wrapText="1"/>
      <protection locked="0"/>
    </xf>
    <xf numFmtId="0" fontId="0" fillId="0" borderId="24" xfId="0" applyBorder="1" applyAlignment="1">
      <alignment vertical="center" wrapText="1"/>
    </xf>
    <xf numFmtId="0" fontId="0" fillId="0" borderId="37" xfId="0" applyBorder="1" applyAlignment="1">
      <alignment vertical="center" wrapText="1"/>
    </xf>
    <xf numFmtId="0" fontId="17" fillId="29" borderId="150" xfId="0" applyFont="1" applyFill="1" applyBorder="1" applyAlignment="1">
      <alignment horizontal="left" vertical="center" wrapText="1"/>
    </xf>
    <xf numFmtId="0" fontId="17" fillId="29" borderId="164" xfId="0" applyFont="1" applyFill="1" applyBorder="1" applyAlignment="1">
      <alignment horizontal="left" vertical="center" wrapText="1"/>
    </xf>
    <xf numFmtId="0" fontId="17" fillId="29" borderId="165" xfId="0" applyFont="1" applyFill="1" applyBorder="1" applyAlignment="1">
      <alignment horizontal="left" vertical="center" wrapText="1"/>
    </xf>
    <xf numFmtId="0" fontId="17" fillId="29" borderId="166" xfId="0" applyFont="1" applyFill="1" applyBorder="1" applyAlignment="1">
      <alignment horizontal="left" vertical="center" wrapText="1"/>
    </xf>
    <xf numFmtId="0" fontId="17" fillId="29" borderId="167" xfId="0" applyFont="1" applyFill="1" applyBorder="1" applyAlignment="1">
      <alignment horizontal="left" vertical="center" wrapText="1"/>
    </xf>
    <xf numFmtId="0" fontId="17" fillId="29" borderId="168" xfId="0" applyFont="1" applyFill="1" applyBorder="1" applyAlignment="1">
      <alignment horizontal="left" vertical="center" wrapText="1"/>
    </xf>
    <xf numFmtId="0" fontId="0" fillId="0" borderId="27" xfId="0" applyBorder="1" applyAlignment="1" applyProtection="1">
      <alignment horizontal="left" vertical="center" wrapText="1"/>
      <protection locked="0"/>
    </xf>
    <xf numFmtId="0" fontId="0" fillId="0" borderId="46" xfId="0" applyBorder="1" applyAlignment="1" applyProtection="1">
      <alignment horizontal="left" vertical="center" wrapText="1"/>
      <protection locked="0"/>
    </xf>
    <xf numFmtId="0" fontId="0" fillId="0" borderId="22" xfId="0" applyBorder="1" applyAlignment="1" applyProtection="1">
      <alignment horizontal="left" vertical="center" wrapText="1"/>
      <protection locked="0"/>
    </xf>
    <xf numFmtId="0" fontId="0" fillId="0" borderId="25" xfId="0" applyBorder="1" applyAlignment="1" applyProtection="1">
      <alignment horizontal="left" vertical="center" wrapText="1"/>
      <protection locked="0"/>
    </xf>
    <xf numFmtId="0" fontId="0" fillId="0" borderId="80" xfId="0" applyBorder="1" applyAlignment="1" applyProtection="1">
      <alignment horizontal="left" vertical="center" wrapText="1"/>
      <protection locked="0"/>
    </xf>
    <xf numFmtId="0" fontId="0" fillId="0" borderId="21" xfId="0" applyBorder="1" applyAlignment="1" applyProtection="1">
      <alignment horizontal="left" vertical="center" wrapText="1"/>
      <protection locked="0"/>
    </xf>
    <xf numFmtId="0" fontId="0" fillId="0" borderId="23" xfId="0" applyBorder="1" applyAlignment="1" applyProtection="1">
      <alignment horizontal="left" vertical="top" wrapText="1"/>
      <protection locked="0"/>
    </xf>
    <xf numFmtId="0" fontId="0" fillId="0" borderId="24" xfId="0" applyBorder="1" applyAlignment="1" applyProtection="1">
      <alignment horizontal="left" vertical="top" wrapText="1"/>
      <protection locked="0"/>
    </xf>
    <xf numFmtId="0" fontId="0" fillId="0" borderId="37" xfId="0" applyBorder="1" applyAlignment="1" applyProtection="1">
      <alignment horizontal="left" vertical="top" wrapText="1"/>
      <protection locked="0"/>
    </xf>
    <xf numFmtId="0" fontId="63" fillId="0" borderId="0" xfId="0" applyFont="1" applyAlignment="1" applyProtection="1">
      <alignment horizontal="left" vertical="top" wrapText="1"/>
      <protection locked="0"/>
    </xf>
    <xf numFmtId="0" fontId="0" fillId="0" borderId="49" xfId="0" applyBorder="1" applyAlignment="1" applyProtection="1">
      <alignment vertical="center" wrapText="1"/>
      <protection locked="0"/>
    </xf>
    <xf numFmtId="0" fontId="0" fillId="0" borderId="50" xfId="0" applyBorder="1" applyAlignment="1" applyProtection="1">
      <alignment vertical="center" wrapText="1"/>
      <protection locked="0"/>
    </xf>
    <xf numFmtId="0" fontId="0" fillId="0" borderId="51" xfId="0" applyBorder="1" applyAlignment="1" applyProtection="1">
      <alignment vertical="center" wrapText="1"/>
      <protection locked="0"/>
    </xf>
    <xf numFmtId="0" fontId="0" fillId="0" borderId="65" xfId="0" applyBorder="1" applyAlignment="1">
      <alignment vertical="center"/>
    </xf>
    <xf numFmtId="0" fontId="0" fillId="0" borderId="48" xfId="0" applyBorder="1" applyAlignment="1">
      <alignment vertical="center"/>
    </xf>
    <xf numFmtId="0" fontId="0" fillId="0" borderId="36" xfId="0" applyBorder="1" applyAlignment="1">
      <alignment vertical="center"/>
    </xf>
    <xf numFmtId="0" fontId="0" fillId="0" borderId="54" xfId="0" applyBorder="1" applyAlignment="1" applyProtection="1">
      <alignment horizontal="left" vertical="center"/>
      <protection locked="0"/>
    </xf>
    <xf numFmtId="0" fontId="0" fillId="0" borderId="55" xfId="0" applyBorder="1" applyAlignment="1">
      <alignment horizontal="left" vertical="center"/>
    </xf>
    <xf numFmtId="0" fontId="0" fillId="0" borderId="56" xfId="0" applyBorder="1" applyAlignment="1">
      <alignment horizontal="left" vertical="center"/>
    </xf>
    <xf numFmtId="0" fontId="0" fillId="0" borderId="54" xfId="0" applyBorder="1" applyAlignment="1" applyProtection="1">
      <protection locked="0"/>
    </xf>
    <xf numFmtId="0" fontId="0" fillId="0" borderId="55" xfId="0" applyBorder="1" applyAlignment="1"/>
    <xf numFmtId="0" fontId="0" fillId="0" borderId="56" xfId="0" applyBorder="1" applyAlignment="1"/>
    <xf numFmtId="0" fontId="0" fillId="0" borderId="6" xfId="0" applyBorder="1" applyAlignment="1" applyProtection="1">
      <alignment horizontal="left" vertical="center"/>
      <protection locked="0"/>
    </xf>
    <xf numFmtId="0" fontId="0" fillId="0" borderId="23" xfId="0" applyBorder="1" applyAlignment="1"/>
    <xf numFmtId="1" fontId="0" fillId="0" borderId="49" xfId="0" applyNumberFormat="1" applyBorder="1" applyAlignment="1" applyProtection="1">
      <alignment horizontal="left" vertical="center" wrapText="1"/>
      <protection locked="0"/>
    </xf>
    <xf numFmtId="1" fontId="0" fillId="0" borderId="50" xfId="0" applyNumberFormat="1" applyBorder="1" applyAlignment="1" applyProtection="1">
      <alignment horizontal="left" vertical="center" wrapText="1"/>
      <protection locked="0"/>
    </xf>
    <xf numFmtId="1" fontId="0" fillId="0" borderId="51" xfId="0" applyNumberFormat="1" applyBorder="1" applyAlignment="1" applyProtection="1">
      <alignment horizontal="left" vertical="center" wrapText="1"/>
      <protection locked="0"/>
    </xf>
    <xf numFmtId="1" fontId="0" fillId="0" borderId="70" xfId="0" applyNumberFormat="1" applyBorder="1" applyAlignment="1" applyProtection="1">
      <alignment horizontal="left" vertical="center" wrapText="1"/>
      <protection locked="0"/>
    </xf>
    <xf numFmtId="1" fontId="0" fillId="0" borderId="0" xfId="0" applyNumberFormat="1" applyAlignment="1" applyProtection="1">
      <alignment horizontal="left" vertical="center" wrapText="1"/>
      <protection locked="0"/>
    </xf>
    <xf numFmtId="1" fontId="0" fillId="0" borderId="63" xfId="0" applyNumberFormat="1" applyBorder="1" applyAlignment="1" applyProtection="1">
      <alignment horizontal="left" vertical="center" wrapText="1"/>
      <protection locked="0"/>
    </xf>
    <xf numFmtId="164" fontId="0" fillId="15" borderId="23" xfId="0" applyNumberFormat="1" applyFill="1" applyBorder="1" applyAlignment="1" applyProtection="1">
      <protection locked="0"/>
    </xf>
    <xf numFmtId="0" fontId="0" fillId="15" borderId="37" xfId="0" applyFill="1" applyBorder="1" applyAlignment="1"/>
    <xf numFmtId="164" fontId="0" fillId="15" borderId="71" xfId="0" applyNumberFormat="1" applyFill="1" applyBorder="1" applyAlignment="1" applyProtection="1">
      <protection locked="0"/>
    </xf>
    <xf numFmtId="0" fontId="0" fillId="15" borderId="39" xfId="0" applyFill="1" applyBorder="1" applyAlignment="1"/>
    <xf numFmtId="164" fontId="0" fillId="27" borderId="23" xfId="0" applyNumberFormat="1" applyFill="1" applyBorder="1" applyAlignment="1" applyProtection="1">
      <alignment vertical="center"/>
      <protection locked="0"/>
    </xf>
    <xf numFmtId="164" fontId="0" fillId="27" borderId="37" xfId="0" applyNumberFormat="1" applyFill="1" applyBorder="1" applyAlignment="1" applyProtection="1">
      <alignment vertical="center"/>
      <protection locked="0"/>
    </xf>
    <xf numFmtId="164" fontId="0" fillId="15" borderId="23" xfId="0" applyNumberFormat="1" applyFill="1" applyBorder="1" applyAlignment="1" applyProtection="1">
      <alignment vertical="center"/>
      <protection locked="0"/>
    </xf>
    <xf numFmtId="164" fontId="0" fillId="15" borderId="37" xfId="0" applyNumberFormat="1" applyFill="1" applyBorder="1" applyAlignment="1" applyProtection="1">
      <alignment vertical="center"/>
      <protection locked="0"/>
    </xf>
    <xf numFmtId="164" fontId="25" fillId="13" borderId="49" xfId="0" applyNumberFormat="1" applyFont="1" applyFill="1" applyBorder="1" applyAlignment="1"/>
    <xf numFmtId="0" fontId="0" fillId="0" borderId="51" xfId="0" applyBorder="1" applyAlignment="1"/>
    <xf numFmtId="176" fontId="23" fillId="13" borderId="40" xfId="0" applyNumberFormat="1" applyFont="1" applyFill="1" applyBorder="1" applyAlignment="1">
      <alignment horizontal="center" vertical="center"/>
    </xf>
    <xf numFmtId="176" fontId="23" fillId="13" borderId="71" xfId="0" applyNumberFormat="1" applyFont="1" applyFill="1" applyBorder="1" applyAlignment="1">
      <alignment horizontal="center" vertical="center"/>
    </xf>
    <xf numFmtId="0" fontId="0" fillId="0" borderId="23" xfId="0" applyBorder="1" applyAlignment="1">
      <alignment horizontal="left" vertical="center" wrapText="1"/>
    </xf>
    <xf numFmtId="0" fontId="0" fillId="0" borderId="24" xfId="0" applyBorder="1" applyAlignment="1">
      <alignment horizontal="left" vertical="center" wrapText="1"/>
    </xf>
    <xf numFmtId="0" fontId="0" fillId="0" borderId="37" xfId="0" applyBorder="1" applyAlignment="1">
      <alignment horizontal="left" vertical="center" wrapText="1"/>
    </xf>
    <xf numFmtId="0" fontId="0" fillId="15" borderId="23" xfId="0" applyFill="1" applyBorder="1" applyAlignment="1">
      <alignment horizontal="center" vertical="center"/>
    </xf>
    <xf numFmtId="0" fontId="0" fillId="0" borderId="37" xfId="0" applyBorder="1" applyAlignment="1">
      <alignment vertical="center"/>
    </xf>
    <xf numFmtId="1" fontId="2" fillId="18" borderId="6" xfId="0" applyNumberFormat="1" applyFont="1" applyFill="1" applyBorder="1" applyAlignment="1" applyProtection="1">
      <alignment horizontal="center" vertical="center"/>
      <protection locked="0"/>
    </xf>
    <xf numFmtId="0" fontId="0" fillId="0" borderId="26" xfId="0" applyBorder="1" applyAlignment="1">
      <alignment horizontal="center" vertical="center"/>
    </xf>
    <xf numFmtId="2" fontId="0" fillId="15" borderId="6" xfId="0" applyNumberFormat="1" applyFill="1" applyBorder="1" applyAlignment="1">
      <alignment horizontal="center"/>
    </xf>
    <xf numFmtId="0" fontId="0" fillId="0" borderId="26" xfId="0" applyBorder="1" applyAlignment="1">
      <alignment horizontal="center"/>
    </xf>
    <xf numFmtId="1" fontId="44" fillId="34" borderId="23" xfId="0" applyNumberFormat="1" applyFont="1" applyFill="1" applyBorder="1" applyAlignment="1" applyProtection="1">
      <protection locked="0"/>
    </xf>
    <xf numFmtId="1" fontId="44" fillId="34" borderId="71" xfId="0" applyNumberFormat="1" applyFont="1" applyFill="1" applyBorder="1" applyAlignment="1" applyProtection="1">
      <protection locked="0"/>
    </xf>
    <xf numFmtId="0" fontId="0" fillId="0" borderId="39" xfId="0" applyBorder="1" applyAlignment="1"/>
    <xf numFmtId="1" fontId="2" fillId="9" borderId="24" xfId="0" applyNumberFormat="1" applyFont="1" applyFill="1" applyBorder="1" applyAlignment="1" applyProtection="1">
      <alignment horizontal="center" wrapText="1"/>
      <protection locked="0"/>
    </xf>
    <xf numFmtId="1" fontId="2" fillId="9" borderId="50" xfId="0" applyNumberFormat="1" applyFont="1" applyFill="1" applyBorder="1" applyAlignment="1" applyProtection="1">
      <alignment horizontal="center" wrapText="1"/>
      <protection locked="0"/>
    </xf>
    <xf numFmtId="1" fontId="2" fillId="9" borderId="69" xfId="0" applyNumberFormat="1" applyFont="1" applyFill="1" applyBorder="1" applyAlignment="1" applyProtection="1">
      <alignment horizontal="center" wrapText="1"/>
      <protection locked="0"/>
    </xf>
    <xf numFmtId="0" fontId="74" fillId="22" borderId="23" xfId="0" applyFont="1" applyFill="1" applyBorder="1" applyAlignment="1">
      <alignment vertical="center" wrapText="1"/>
    </xf>
    <xf numFmtId="0" fontId="74" fillId="0" borderId="24" xfId="0" applyFont="1" applyBorder="1" applyAlignment="1">
      <alignment vertical="center" wrapText="1"/>
    </xf>
    <xf numFmtId="0" fontId="74" fillId="0" borderId="37" xfId="0" applyFont="1" applyBorder="1" applyAlignment="1">
      <alignment vertical="center" wrapText="1"/>
    </xf>
    <xf numFmtId="164" fontId="0" fillId="0" borderId="24" xfId="0" applyNumberFormat="1" applyBorder="1" applyAlignment="1" applyProtection="1">
      <alignment horizontal="left" wrapText="1"/>
      <protection locked="0"/>
    </xf>
    <xf numFmtId="164" fontId="0" fillId="0" borderId="37" xfId="0" applyNumberFormat="1" applyBorder="1" applyAlignment="1" applyProtection="1">
      <alignment horizontal="left" wrapText="1"/>
      <protection locked="0"/>
    </xf>
    <xf numFmtId="1" fontId="0" fillId="0" borderId="208" xfId="0" applyNumberFormat="1" applyBorder="1" applyAlignment="1" applyProtection="1">
      <alignment horizontal="left"/>
      <protection locked="0"/>
    </xf>
    <xf numFmtId="1" fontId="0" fillId="0" borderId="207" xfId="0" applyNumberFormat="1" applyBorder="1" applyAlignment="1" applyProtection="1">
      <alignment horizontal="left"/>
      <protection locked="0"/>
    </xf>
    <xf numFmtId="1" fontId="0" fillId="0" borderId="206" xfId="0" applyNumberFormat="1" applyBorder="1" applyAlignment="1" applyProtection="1">
      <alignment horizontal="left"/>
      <protection locked="0"/>
    </xf>
    <xf numFmtId="0" fontId="0" fillId="5" borderId="23" xfId="0" applyFill="1" applyBorder="1" applyAlignment="1">
      <alignment horizontal="left" vertical="center" wrapText="1"/>
    </xf>
    <xf numFmtId="0" fontId="0" fillId="5" borderId="24" xfId="0" applyFill="1" applyBorder="1" applyAlignment="1">
      <alignment horizontal="left" vertical="center" wrapText="1"/>
    </xf>
    <xf numFmtId="0" fontId="0" fillId="5" borderId="37" xfId="0" applyFill="1" applyBorder="1" applyAlignment="1">
      <alignment horizontal="left" vertical="center" wrapText="1"/>
    </xf>
    <xf numFmtId="0" fontId="0" fillId="0" borderId="6" xfId="0" applyBorder="1" applyAlignment="1">
      <alignment horizontal="left" vertical="center" wrapText="1"/>
    </xf>
    <xf numFmtId="0" fontId="12" fillId="0" borderId="0" xfId="0" applyFont="1" applyAlignment="1">
      <alignment horizontal="center" vertical="center" wrapText="1"/>
    </xf>
    <xf numFmtId="0" fontId="90" fillId="56" borderId="29" xfId="0" applyFont="1" applyFill="1" applyBorder="1" applyAlignment="1">
      <alignment horizontal="center" vertical="center"/>
    </xf>
    <xf numFmtId="0" fontId="90" fillId="56" borderId="28" xfId="0" applyFont="1" applyFill="1" applyBorder="1" applyAlignment="1">
      <alignment horizontal="center" vertical="center"/>
    </xf>
    <xf numFmtId="0" fontId="90" fillId="56" borderId="10" xfId="0" applyFont="1" applyFill="1" applyBorder="1" applyAlignment="1">
      <alignment horizontal="center" vertical="center"/>
    </xf>
    <xf numFmtId="0" fontId="0" fillId="0" borderId="6" xfId="0" applyBorder="1" applyAlignment="1">
      <alignment horizontal="left" vertical="center"/>
    </xf>
    <xf numFmtId="164" fontId="26" fillId="3" borderId="29" xfId="0" applyNumberFormat="1" applyFont="1" applyFill="1" applyBorder="1" applyAlignment="1" applyProtection="1">
      <alignment horizontal="left" vertical="center" wrapText="1"/>
      <protection locked="0"/>
    </xf>
    <xf numFmtId="164" fontId="26" fillId="3" borderId="28" xfId="0" applyNumberFormat="1" applyFont="1" applyFill="1" applyBorder="1" applyAlignment="1" applyProtection="1">
      <alignment horizontal="left" vertical="center" wrapText="1"/>
      <protection locked="0"/>
    </xf>
    <xf numFmtId="164" fontId="26" fillId="3" borderId="10" xfId="0" applyNumberFormat="1" applyFont="1" applyFill="1" applyBorder="1" applyAlignment="1" applyProtection="1">
      <alignment horizontal="left" vertical="center" wrapText="1"/>
      <protection locked="0"/>
    </xf>
    <xf numFmtId="164" fontId="26" fillId="3" borderId="19" xfId="0" applyNumberFormat="1" applyFont="1" applyFill="1" applyBorder="1" applyAlignment="1" applyProtection="1">
      <alignment horizontal="left" vertical="center" wrapText="1"/>
      <protection locked="0"/>
    </xf>
    <xf numFmtId="164" fontId="26" fillId="3" borderId="0" xfId="0" applyNumberFormat="1" applyFont="1" applyFill="1" applyAlignment="1" applyProtection="1">
      <alignment horizontal="left" vertical="center" wrapText="1"/>
      <protection locked="0"/>
    </xf>
    <xf numFmtId="164" fontId="26" fillId="3" borderId="15" xfId="0" applyNumberFormat="1" applyFont="1" applyFill="1" applyBorder="1" applyAlignment="1" applyProtection="1">
      <alignment horizontal="left" vertical="center" wrapText="1"/>
      <protection locked="0"/>
    </xf>
    <xf numFmtId="164" fontId="26" fillId="3" borderId="17" xfId="0" applyNumberFormat="1" applyFont="1" applyFill="1" applyBorder="1" applyAlignment="1" applyProtection="1">
      <alignment horizontal="left" vertical="center" wrapText="1"/>
      <protection locked="0"/>
    </xf>
    <xf numFmtId="164" fontId="26" fillId="3" borderId="18" xfId="0" applyNumberFormat="1" applyFont="1" applyFill="1" applyBorder="1" applyAlignment="1" applyProtection="1">
      <alignment horizontal="left" vertical="center" wrapText="1"/>
      <protection locked="0"/>
    </xf>
    <xf numFmtId="164" fontId="26" fillId="3" borderId="11" xfId="0" applyNumberFormat="1" applyFont="1" applyFill="1" applyBorder="1" applyAlignment="1" applyProtection="1">
      <alignment horizontal="left" vertical="center" wrapText="1"/>
      <protection locked="0"/>
    </xf>
    <xf numFmtId="0" fontId="17" fillId="29" borderId="28" xfId="0" applyFont="1" applyFill="1" applyBorder="1" applyAlignment="1" applyProtection="1">
      <protection locked="0"/>
    </xf>
    <xf numFmtId="0" fontId="0" fillId="29" borderId="10" xfId="0" applyFill="1" applyBorder="1" applyAlignment="1"/>
    <xf numFmtId="0" fontId="74" fillId="0" borderId="62" xfId="0" applyFont="1" applyFill="1" applyBorder="1" applyAlignment="1"/>
    <xf numFmtId="0" fontId="74" fillId="0" borderId="135" xfId="0" applyFont="1" applyFill="1" applyBorder="1" applyAlignment="1"/>
    <xf numFmtId="0" fontId="74" fillId="0" borderId="136" xfId="0" applyFont="1" applyFill="1" applyBorder="1" applyAlignment="1"/>
    <xf numFmtId="164" fontId="0" fillId="0" borderId="23" xfId="0" applyNumberFormat="1" applyBorder="1" applyAlignment="1" applyProtection="1">
      <alignment wrapText="1"/>
      <protection locked="0"/>
    </xf>
    <xf numFmtId="0" fontId="0" fillId="0" borderId="24" xfId="0" applyBorder="1" applyAlignment="1">
      <alignment wrapText="1"/>
    </xf>
    <xf numFmtId="0" fontId="0" fillId="0" borderId="37" xfId="0" applyBorder="1" applyAlignment="1">
      <alignment wrapText="1"/>
    </xf>
    <xf numFmtId="0" fontId="74" fillId="0" borderId="54" xfId="0" applyFont="1" applyBorder="1" applyAlignment="1"/>
    <xf numFmtId="0" fontId="74" fillId="0" borderId="55" xfId="0" applyFont="1" applyBorder="1" applyAlignment="1"/>
    <xf numFmtId="0" fontId="74" fillId="0" borderId="56" xfId="0" applyFont="1" applyBorder="1" applyAlignment="1"/>
    <xf numFmtId="0" fontId="0" fillId="0" borderId="23" xfId="0" applyBorder="1" applyAlignment="1" applyProtection="1">
      <alignment wrapText="1"/>
      <protection locked="0"/>
    </xf>
    <xf numFmtId="164" fontId="23" fillId="13" borderId="23" xfId="0" applyNumberFormat="1" applyFont="1" applyFill="1" applyBorder="1" applyAlignment="1"/>
    <xf numFmtId="0" fontId="20" fillId="0" borderId="23" xfId="0" applyFont="1" applyBorder="1" applyAlignment="1">
      <alignment horizontal="center" vertical="center" wrapText="1"/>
    </xf>
    <xf numFmtId="0" fontId="20" fillId="0" borderId="37" xfId="0" applyFont="1" applyBorder="1" applyAlignment="1">
      <alignment horizontal="center" vertical="center" wrapText="1"/>
    </xf>
    <xf numFmtId="0" fontId="27" fillId="0" borderId="23" xfId="0" applyFont="1" applyBorder="1" applyAlignment="1">
      <alignment horizontal="center"/>
    </xf>
    <xf numFmtId="0" fontId="27" fillId="0" borderId="37" xfId="0" applyFont="1" applyBorder="1" applyAlignment="1">
      <alignment horizontal="center"/>
    </xf>
    <xf numFmtId="0" fontId="0" fillId="0" borderId="68" xfId="0" applyBorder="1" applyAlignment="1"/>
    <xf numFmtId="0" fontId="0" fillId="0" borderId="50" xfId="0" applyBorder="1" applyAlignment="1"/>
    <xf numFmtId="0" fontId="2" fillId="50" borderId="20" xfId="0" applyFont="1" applyFill="1" applyBorder="1" applyAlignment="1"/>
    <xf numFmtId="0" fontId="2" fillId="50" borderId="16" xfId="0" applyFont="1" applyFill="1" applyBorder="1" applyAlignment="1"/>
    <xf numFmtId="0" fontId="2" fillId="50" borderId="76" xfId="0" applyFont="1" applyFill="1" applyBorder="1" applyAlignment="1"/>
    <xf numFmtId="0" fontId="0" fillId="0" borderId="7" xfId="0" applyBorder="1" applyAlignment="1"/>
    <xf numFmtId="0" fontId="90" fillId="56" borderId="0" xfId="0" applyFont="1" applyFill="1" applyAlignment="1">
      <alignment horizontal="center" vertical="center"/>
    </xf>
    <xf numFmtId="0" fontId="90" fillId="56" borderId="15" xfId="0" applyFont="1" applyFill="1" applyBorder="1" applyAlignment="1">
      <alignment horizontal="center" vertical="center"/>
    </xf>
    <xf numFmtId="0" fontId="0" fillId="0" borderId="201" xfId="0" applyBorder="1" applyAlignment="1">
      <alignment horizontal="center" vertical="center" wrapText="1"/>
    </xf>
    <xf numFmtId="0" fontId="0" fillId="0" borderId="202" xfId="0" applyBorder="1" applyAlignment="1">
      <alignment horizontal="center" vertical="center" wrapText="1"/>
    </xf>
    <xf numFmtId="0" fontId="0" fillId="0" borderId="203" xfId="0" applyBorder="1" applyAlignment="1">
      <alignment horizontal="center" vertical="center" wrapText="1"/>
    </xf>
    <xf numFmtId="2" fontId="2" fillId="39" borderId="29" xfId="0" applyNumberFormat="1" applyFont="1" applyFill="1" applyBorder="1" applyAlignment="1">
      <alignment horizontal="center" wrapText="1"/>
    </xf>
    <xf numFmtId="0" fontId="0" fillId="0" borderId="10" xfId="0" applyBorder="1" applyAlignment="1"/>
    <xf numFmtId="0" fontId="2" fillId="36" borderId="20" xfId="0" applyFont="1" applyFill="1" applyBorder="1" applyAlignment="1">
      <alignment horizontal="center"/>
    </xf>
    <xf numFmtId="0" fontId="2" fillId="36" borderId="16" xfId="0" applyFont="1" applyFill="1" applyBorder="1" applyAlignment="1">
      <alignment horizontal="center"/>
    </xf>
    <xf numFmtId="0" fontId="2" fillId="36" borderId="12" xfId="0" applyFont="1" applyFill="1" applyBorder="1" applyAlignment="1">
      <alignment horizontal="center"/>
    </xf>
    <xf numFmtId="0" fontId="0" fillId="0" borderId="8" xfId="0" applyBorder="1" applyAlignment="1">
      <alignment horizontal="center" vertical="center"/>
    </xf>
    <xf numFmtId="0" fontId="0" fillId="0" borderId="13" xfId="0" applyBorder="1" applyAlignment="1">
      <alignment horizontal="center" vertical="center"/>
    </xf>
    <xf numFmtId="0" fontId="0" fillId="0" borderId="14" xfId="0" applyBorder="1" applyAlignment="1">
      <alignment horizontal="center" vertical="center"/>
    </xf>
    <xf numFmtId="0" fontId="0" fillId="0" borderId="8" xfId="0" applyBorder="1" applyAlignment="1">
      <alignment horizontal="center" vertical="center" wrapText="1"/>
    </xf>
    <xf numFmtId="0" fontId="0" fillId="0" borderId="13" xfId="0" applyBorder="1" applyAlignment="1">
      <alignment horizontal="center" vertical="center" wrapText="1"/>
    </xf>
    <xf numFmtId="0" fontId="0" fillId="0" borderId="14" xfId="0" applyBorder="1" applyAlignment="1">
      <alignment horizontal="center" vertical="center" wrapText="1"/>
    </xf>
    <xf numFmtId="0" fontId="0" fillId="3" borderId="13" xfId="0" applyFill="1" applyBorder="1" applyAlignment="1">
      <alignment horizontal="center" vertical="center"/>
    </xf>
    <xf numFmtId="0" fontId="0" fillId="3" borderId="14" xfId="0" applyFill="1" applyBorder="1" applyAlignment="1">
      <alignment horizontal="center" vertical="center"/>
    </xf>
    <xf numFmtId="0" fontId="0" fillId="3" borderId="8" xfId="0" applyFill="1" applyBorder="1" applyAlignment="1">
      <alignment horizontal="center" vertical="center" wrapText="1"/>
    </xf>
    <xf numFmtId="0" fontId="0" fillId="3" borderId="13" xfId="0" applyFill="1" applyBorder="1" applyAlignment="1">
      <alignment horizontal="center" vertical="center" wrapText="1"/>
    </xf>
    <xf numFmtId="0" fontId="0" fillId="3" borderId="8" xfId="0" applyFill="1" applyBorder="1" applyAlignment="1">
      <alignment horizontal="center" vertical="center"/>
    </xf>
    <xf numFmtId="2" fontId="2" fillId="29" borderId="19" xfId="0" applyNumberFormat="1" applyFont="1" applyFill="1" applyBorder="1" applyAlignment="1">
      <alignment horizontal="left"/>
    </xf>
    <xf numFmtId="2" fontId="2" fillId="29" borderId="0" xfId="0" applyNumberFormat="1" applyFont="1" applyFill="1" applyAlignment="1">
      <alignment horizontal="left"/>
    </xf>
    <xf numFmtId="0" fontId="0" fillId="37" borderId="182" xfId="0" applyFill="1" applyBorder="1" applyAlignment="1">
      <alignment horizontal="left" vertical="center" wrapText="1"/>
    </xf>
    <xf numFmtId="0" fontId="0" fillId="37" borderId="4" xfId="0" applyFill="1" applyBorder="1" applyAlignment="1">
      <alignment horizontal="left" vertical="center" wrapText="1"/>
    </xf>
    <xf numFmtId="0" fontId="0" fillId="37" borderId="31" xfId="0" applyFill="1" applyBorder="1" applyAlignment="1">
      <alignment horizontal="left" vertical="center" wrapText="1"/>
    </xf>
    <xf numFmtId="0" fontId="61" fillId="0" borderId="156" xfId="0" applyFont="1" applyBorder="1" applyAlignment="1" applyProtection="1">
      <alignment horizontal="left" vertical="center" wrapText="1"/>
      <protection locked="0"/>
    </xf>
    <xf numFmtId="0" fontId="0" fillId="0" borderId="157" xfId="0" applyBorder="1" applyAlignment="1" applyProtection="1">
      <alignment horizontal="left" vertical="center" wrapText="1"/>
      <protection locked="0"/>
    </xf>
    <xf numFmtId="0" fontId="0" fillId="0" borderId="158" xfId="0" applyBorder="1" applyAlignment="1" applyProtection="1">
      <alignment horizontal="left" vertical="center" wrapText="1"/>
      <protection locked="0"/>
    </xf>
    <xf numFmtId="0" fontId="0" fillId="0" borderId="159" xfId="0" applyBorder="1" applyAlignment="1" applyProtection="1">
      <alignment horizontal="left" vertical="center" wrapText="1"/>
      <protection locked="0"/>
    </xf>
    <xf numFmtId="0" fontId="0" fillId="0" borderId="160" xfId="0" applyBorder="1" applyAlignment="1" applyProtection="1">
      <alignment horizontal="left" vertical="center" wrapText="1"/>
      <protection locked="0"/>
    </xf>
    <xf numFmtId="0" fontId="0" fillId="0" borderId="161" xfId="0" applyBorder="1" applyAlignment="1" applyProtection="1">
      <alignment horizontal="left" vertical="center" wrapText="1"/>
      <protection locked="0"/>
    </xf>
    <xf numFmtId="0" fontId="0" fillId="0" borderId="162" xfId="0" applyBorder="1" applyAlignment="1" applyProtection="1">
      <alignment horizontal="left" vertical="center" wrapText="1"/>
      <protection locked="0"/>
    </xf>
    <xf numFmtId="0" fontId="0" fillId="0" borderId="163" xfId="0" applyBorder="1" applyAlignment="1" applyProtection="1">
      <alignment horizontal="left" vertical="center" wrapText="1"/>
      <protection locked="0"/>
    </xf>
    <xf numFmtId="0" fontId="2" fillId="0" borderId="50" xfId="0" applyFont="1" applyBorder="1" applyAlignment="1" applyProtection="1">
      <alignment horizontal="center" vertical="center" textRotation="90"/>
      <protection locked="0"/>
    </xf>
    <xf numFmtId="0" fontId="2" fillId="0" borderId="0" xfId="0" applyFont="1" applyAlignment="1" applyProtection="1">
      <alignment horizontal="center" vertical="center" textRotation="90"/>
      <protection locked="0"/>
    </xf>
  </cellXfs>
  <cellStyles count="9">
    <cellStyle name="Hyperlink" xfId="5" xr:uid="{00000000-000B-0000-0000-000008000000}"/>
    <cellStyle name="Lien hypertexte" xfId="4" builtinId="8"/>
    <cellStyle name="Milliers" xfId="6" builtinId="3"/>
    <cellStyle name="Milliers 2" xfId="8" xr:uid="{B9AB28FD-6D57-4F70-86CB-83D94B909D67}"/>
    <cellStyle name="Monétaire" xfId="2" builtinId="4"/>
    <cellStyle name="Monétaire 2" xfId="7" xr:uid="{5F97DD75-EE6D-4AEE-9C58-A21E070DA747}"/>
    <cellStyle name="Normal" xfId="0" builtinId="0"/>
    <cellStyle name="Pourcentage" xfId="1" builtinId="5"/>
    <cellStyle name="Standaard 2" xfId="3" xr:uid="{51AAE790-4352-4521-AA15-9C9A6E17B5D6}"/>
  </cellStyles>
  <dxfs count="109">
    <dxf>
      <fill>
        <patternFill>
          <bgColor rgb="FF92D050"/>
        </patternFill>
      </fill>
    </dxf>
    <dxf>
      <font>
        <color rgb="FF006100"/>
      </font>
      <fill>
        <patternFill>
          <bgColor rgb="FFC6EFCE"/>
        </patternFill>
      </fill>
    </dxf>
    <dxf>
      <font>
        <color rgb="FF9C5700"/>
      </font>
      <fill>
        <patternFill>
          <bgColor rgb="FFFFEB9C"/>
        </patternFill>
      </fill>
    </dxf>
    <dxf>
      <font>
        <color rgb="FF006100"/>
      </font>
      <fill>
        <patternFill>
          <bgColor rgb="FFC6EFCE"/>
        </patternFill>
      </fill>
    </dxf>
    <dxf>
      <font>
        <color rgb="FF9C5700"/>
      </font>
      <fill>
        <patternFill>
          <bgColor rgb="FFFFEB9C"/>
        </patternFill>
      </fill>
    </dxf>
    <dxf>
      <font>
        <color rgb="FF006100"/>
      </font>
      <fill>
        <patternFill>
          <bgColor rgb="FFC6EFCE"/>
        </patternFill>
      </fill>
    </dxf>
    <dxf>
      <font>
        <color rgb="FF9C5700"/>
      </font>
      <fill>
        <patternFill>
          <bgColor rgb="FFFFEB9C"/>
        </patternFill>
      </fill>
    </dxf>
    <dxf>
      <font>
        <color rgb="FF006100"/>
      </font>
      <fill>
        <patternFill>
          <bgColor rgb="FFC6EFCE"/>
        </patternFill>
      </fill>
    </dxf>
    <dxf>
      <font>
        <color rgb="FF9C5700"/>
      </font>
      <fill>
        <patternFill>
          <bgColor rgb="FFFFEB9C"/>
        </patternFill>
      </fill>
    </dxf>
    <dxf>
      <font>
        <color rgb="FF006100"/>
      </font>
      <fill>
        <patternFill>
          <bgColor rgb="FFC6EFCE"/>
        </patternFill>
      </fill>
    </dxf>
    <dxf>
      <font>
        <color rgb="FF9C5700"/>
      </font>
      <fill>
        <patternFill>
          <bgColor rgb="FFFFEB9C"/>
        </patternFill>
      </fill>
    </dxf>
    <dxf>
      <font>
        <color rgb="FF006100"/>
      </font>
      <fill>
        <patternFill>
          <bgColor rgb="FFC6EFCE"/>
        </patternFill>
      </fill>
    </dxf>
    <dxf>
      <font>
        <color rgb="FF9C5700"/>
      </font>
      <fill>
        <patternFill>
          <bgColor rgb="FFFFEB9C"/>
        </patternFill>
      </fill>
    </dxf>
    <dxf>
      <font>
        <color rgb="FF006100"/>
      </font>
      <fill>
        <patternFill>
          <bgColor rgb="FFC6EFCE"/>
        </patternFill>
      </fill>
    </dxf>
    <dxf>
      <font>
        <color rgb="FF9C5700"/>
      </font>
      <fill>
        <patternFill>
          <bgColor rgb="FFFFEB9C"/>
        </patternFill>
      </fill>
    </dxf>
    <dxf>
      <fill>
        <patternFill>
          <bgColor rgb="FFFF0000"/>
        </patternFill>
      </fill>
    </dxf>
    <dxf>
      <fill>
        <patternFill>
          <bgColor rgb="FF92D050"/>
        </patternFill>
      </fill>
    </dxf>
    <dxf>
      <font>
        <b/>
        <i val="0"/>
        <color theme="0"/>
      </font>
      <fill>
        <patternFill>
          <bgColor theme="9"/>
        </patternFill>
      </fill>
    </dxf>
    <dxf>
      <font>
        <b/>
        <i val="0"/>
        <color theme="0"/>
      </font>
      <fill>
        <patternFill>
          <bgColor rgb="FFC00000"/>
        </patternFill>
      </fill>
    </dxf>
    <dxf>
      <fill>
        <patternFill>
          <bgColor rgb="FF92D050"/>
        </patternFill>
      </fill>
    </dxf>
    <dxf>
      <fill>
        <patternFill>
          <bgColor rgb="FFFF0000"/>
        </patternFill>
      </fill>
    </dxf>
    <dxf>
      <fill>
        <patternFill>
          <bgColor rgb="FFFF0000"/>
        </patternFill>
      </fill>
    </dxf>
    <dxf>
      <font>
        <color theme="0"/>
      </font>
      <fill>
        <patternFill>
          <bgColor rgb="FFFF0000"/>
        </patternFill>
      </fill>
      <border>
        <left style="thin">
          <color auto="1"/>
        </left>
        <right style="thin">
          <color auto="1"/>
        </right>
        <top style="thin">
          <color auto="1"/>
        </top>
        <bottom style="thin">
          <color auto="1"/>
        </bottom>
        <vertical/>
        <horizontal/>
      </border>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FF0000"/>
        </patternFill>
      </fill>
    </dxf>
    <dxf>
      <fill>
        <patternFill>
          <bgColor rgb="FFFF0000"/>
        </patternFill>
      </fill>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FF0000"/>
        </patternFill>
      </fill>
    </dxf>
    <dxf>
      <fill>
        <patternFill>
          <bgColor rgb="FFFF0000"/>
        </patternFill>
      </fill>
    </dxf>
    <dxf>
      <fill>
        <patternFill>
          <bgColor rgb="FF92D050"/>
        </patternFill>
      </fill>
    </dxf>
    <dxf>
      <font>
        <color theme="1"/>
      </font>
      <fill>
        <patternFill>
          <bgColor rgb="FFFF0000"/>
        </patternFill>
      </fill>
    </dxf>
    <dxf>
      <font>
        <color theme="1"/>
      </font>
      <fill>
        <patternFill>
          <bgColor rgb="FFFF0000"/>
        </patternFill>
      </fill>
    </dxf>
    <dxf>
      <font>
        <color theme="1"/>
      </font>
      <fill>
        <patternFill>
          <bgColor rgb="FFFF0000"/>
        </patternFill>
      </fill>
    </dxf>
    <dxf>
      <fill>
        <patternFill>
          <bgColor theme="9"/>
        </patternFill>
      </fill>
    </dxf>
    <dxf>
      <fill>
        <patternFill>
          <bgColor rgb="FFFF0000"/>
        </patternFill>
      </fill>
    </dxf>
    <dxf>
      <fill>
        <patternFill>
          <bgColor rgb="FFFF0000"/>
        </patternFill>
      </fill>
    </dxf>
    <dxf>
      <font>
        <color rgb="FF006100"/>
      </font>
      <fill>
        <patternFill>
          <bgColor rgb="FFC6EFCE"/>
        </patternFill>
      </fill>
    </dxf>
    <dxf>
      <font>
        <color theme="1"/>
      </font>
      <fill>
        <patternFill>
          <bgColor rgb="FFFF0000"/>
        </patternFill>
      </fill>
    </dxf>
    <dxf>
      <fill>
        <patternFill>
          <bgColor rgb="FF92D050"/>
        </patternFill>
      </fill>
    </dxf>
    <dxf>
      <fill>
        <patternFill>
          <bgColor rgb="FFFF0000"/>
        </patternFill>
      </fill>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FF0000"/>
        </patternFill>
      </fill>
    </dxf>
    <dxf>
      <fill>
        <patternFill>
          <bgColor rgb="FFFF0000"/>
        </patternFill>
      </fill>
    </dxf>
    <dxf>
      <fill>
        <patternFill>
          <bgColor rgb="FF92D050"/>
        </patternFill>
      </fill>
    </dxf>
    <dxf>
      <fill>
        <patternFill>
          <bgColor rgb="FFFF0000"/>
        </patternFill>
      </fill>
    </dxf>
    <dxf>
      <fill>
        <patternFill>
          <bgColor rgb="FFFF0000"/>
        </patternFill>
      </fill>
    </dxf>
    <dxf>
      <fill>
        <patternFill>
          <bgColor rgb="FFFF0000"/>
        </patternFill>
      </fill>
    </dxf>
    <dxf>
      <font>
        <color rgb="FF00B050"/>
      </font>
      <fill>
        <patternFill>
          <bgColor theme="0"/>
        </patternFill>
      </fill>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92D050"/>
        </patternFill>
      </fill>
    </dxf>
    <dxf>
      <font>
        <color rgb="FF92D050"/>
      </font>
      <fill>
        <patternFill>
          <bgColor rgb="FF92D050"/>
        </patternFill>
      </fill>
    </dxf>
    <dxf>
      <font>
        <color rgb="FFFF0000"/>
      </font>
      <fill>
        <patternFill>
          <bgColor rgb="FFFF0000"/>
        </patternFill>
      </fill>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FF0000"/>
        </patternFill>
      </fill>
    </dxf>
    <dxf>
      <fill>
        <patternFill>
          <bgColor rgb="FFFF0000"/>
        </patternFill>
      </fill>
    </dxf>
    <dxf>
      <fill>
        <patternFill>
          <bgColor rgb="FF92D050"/>
        </patternFill>
      </fill>
    </dxf>
    <dxf>
      <fill>
        <patternFill>
          <bgColor rgb="FF92D050"/>
        </patternFill>
      </fill>
    </dxf>
    <dxf>
      <fill>
        <patternFill>
          <bgColor rgb="FFFF0000"/>
        </patternFill>
      </fill>
    </dxf>
    <dxf>
      <fill>
        <patternFill>
          <bgColor rgb="FFFF0000"/>
        </patternFill>
      </fill>
    </dxf>
    <dxf>
      <fill>
        <patternFill>
          <bgColor rgb="FF92D050"/>
        </patternFill>
      </fill>
    </dxf>
    <dxf>
      <fill>
        <patternFill>
          <bgColor rgb="FFFF0000"/>
        </patternFill>
      </fill>
    </dxf>
    <dxf>
      <fill>
        <patternFill>
          <bgColor rgb="FFFF0000"/>
        </patternFill>
      </fill>
    </dxf>
    <dxf>
      <fill>
        <patternFill>
          <bgColor rgb="FF92D050"/>
        </patternFill>
      </fill>
    </dxf>
    <dxf>
      <font>
        <color theme="1"/>
      </font>
      <fill>
        <patternFill>
          <bgColor rgb="FFFF0000"/>
        </patternFill>
      </fill>
    </dxf>
    <dxf>
      <font>
        <color theme="1"/>
      </font>
      <fill>
        <patternFill>
          <bgColor rgb="FFFF0000"/>
        </patternFill>
      </fill>
    </dxf>
    <dxf>
      <fill>
        <patternFill>
          <bgColor rgb="FFFF0000"/>
        </patternFill>
      </fill>
    </dxf>
  </dxfs>
  <tableStyles count="0" defaultTableStyle="TableStyleMedium2" defaultPivotStyle="PivotStyleLight16"/>
  <colors>
    <mruColors>
      <color rgb="FFFFE5E5"/>
      <color rgb="FFFF0000"/>
      <color rgb="FFFFBDBD"/>
      <color rgb="FFFFC5C5"/>
      <color rgb="FFC00000"/>
      <color rgb="FFFFAFAF"/>
      <color rgb="FF349C5C"/>
      <color rgb="FFFFDDDD"/>
      <color rgb="FFEEF2EF"/>
      <color rgb="FFFF9B9B"/>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customXml" Target="../customXml/item2.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worksheet" Target="worksheets/sheet19.xml"/><Relationship Id="rId31" Type="http://schemas.microsoft.com/office/2017/10/relationships/person" Target="persons/perso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theme" Target="theme/theme1.xml"/><Relationship Id="rId30" Type="http://schemas.openxmlformats.org/officeDocument/2006/relationships/sheetMetadata" Target="metadata.xml"/><Relationship Id="rId35" Type="http://schemas.openxmlformats.org/officeDocument/2006/relationships/customXml" Target="../customXml/item3.xml"/><Relationship Id="rId8" Type="http://schemas.openxmlformats.org/officeDocument/2006/relationships/worksheet" Target="worksheets/sheet8.xml"/></Relationships>
</file>

<file path=xl/documenttasks/documenttask1.xml><?xml version="1.0" encoding="utf-8"?>
<Tasks xmlns="http://schemas.microsoft.com/office/tasks/2019/documenttasks">
  <Task id="{DDBCBCE0-CACA-45BC-B07F-737B439C3FFA}">
    <Anchor>
      <Comment id="{4B740EBE-1283-4983-B2E3-9D505A1BFDA0}"/>
    </Anchor>
    <History>
      <Event time="2023-02-20T10:36:30.67" id="{932235FF-FEE2-4598-A7DB-E556C7D0C4A0}">
        <Attribution userId="S::laurent.vandendael@spw.wallonie.be::d5c5956f-e466-4a0e-bc89-c67715c1ae76" userName="VANDENDAEL Laurent" userProvider="AD"/>
        <Anchor>
          <Comment id="{4B740EBE-1283-4983-B2E3-9D505A1BFDA0}"/>
        </Anchor>
        <Create/>
      </Event>
      <Event time="2023-02-20T10:36:30.67" id="{EFDD9BA5-7FA8-489F-9E7D-F6F67AD2FDF8}">
        <Attribution userId="S::laurent.vandendael@spw.wallonie.be::d5c5956f-e466-4a0e-bc89-c67715c1ae76" userName="VANDENDAEL Laurent" userProvider="AD"/>
        <Anchor>
          <Comment id="{4B740EBE-1283-4983-B2E3-9D505A1BFDA0}"/>
        </Anchor>
        <Assign userId="S::alvaro.perezruiz@spw.wallonie.be::2291128f-e16b-436a-910f-6deddd8090fd" userName="PEREZ RUIZ Alvaro" userProvider="AD"/>
      </Event>
      <Event time="2023-02-20T10:36:30.67" id="{551B94DE-F4D6-45D2-8F6E-044E79B40913}">
        <Attribution userId="S::laurent.vandendael@spw.wallonie.be::d5c5956f-e466-4a0e-bc89-c67715c1ae76" userName="VANDENDAEL Laurent" userProvider="AD"/>
        <Anchor>
          <Comment id="{4B740EBE-1283-4983-B2E3-9D505A1BFDA0}"/>
        </Anchor>
        <SetTitle title="@PEREZ RUIZ Alvaro, la charge doit être réduite à deux décimales"/>
      </Event>
    </History>
  </Task>
</Task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xdr:from>
      <xdr:col>1</xdr:col>
      <xdr:colOff>672465</xdr:colOff>
      <xdr:row>0</xdr:row>
      <xdr:rowOff>692757</xdr:rowOff>
    </xdr:from>
    <xdr:to>
      <xdr:col>2</xdr:col>
      <xdr:colOff>6042660</xdr:colOff>
      <xdr:row>2</xdr:row>
      <xdr:rowOff>200025</xdr:rowOff>
    </xdr:to>
    <xdr:sp macro="" textlink="">
      <xdr:nvSpPr>
        <xdr:cNvPr id="8" name="ZoneTexte 7">
          <a:extLst>
            <a:ext uri="{FF2B5EF4-FFF2-40B4-BE49-F238E27FC236}">
              <a16:creationId xmlns:a16="http://schemas.microsoft.com/office/drawing/2014/main" id="{97471F62-E9DD-4C33-BE1B-DA7285E32002}"/>
            </a:ext>
          </a:extLst>
        </xdr:cNvPr>
        <xdr:cNvSpPr txBox="1"/>
      </xdr:nvSpPr>
      <xdr:spPr>
        <a:xfrm>
          <a:off x="1442085" y="692757"/>
          <a:ext cx="6757035" cy="810288"/>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ctr"/>
          <a:r>
            <a:rPr lang="fr-BE" sz="1200" b="0" cap="none" spc="0">
              <a:ln w="0"/>
              <a:solidFill>
                <a:schemeClr val="tx1"/>
              </a:solidFill>
              <a:effectLst>
                <a:outerShdw blurRad="38100" dist="19050" dir="2700000" algn="tl" rotWithShape="0">
                  <a:schemeClr val="dk1">
                    <a:alpha val="40000"/>
                  </a:schemeClr>
                </a:outerShdw>
              </a:effectLst>
            </a:rPr>
            <a:t>RESULTATS</a:t>
          </a:r>
          <a:r>
            <a:rPr lang="fr-BE" sz="1200" b="0" cap="none" spc="0" baseline="0">
              <a:ln w="0"/>
              <a:solidFill>
                <a:schemeClr val="tx1"/>
              </a:solidFill>
              <a:effectLst>
                <a:outerShdw blurRad="38100" dist="19050" dir="2700000" algn="tl" rotWithShape="0">
                  <a:schemeClr val="dk1">
                    <a:alpha val="40000"/>
                  </a:schemeClr>
                </a:outerShdw>
              </a:effectLst>
            </a:rPr>
            <a:t> FOURNIS A TITRE INDICATIF</a:t>
          </a:r>
        </a:p>
        <a:p>
          <a:pPr algn="ctr"/>
          <a:endParaRPr lang="fr-BE" sz="1200" b="0" cap="none" spc="0" baseline="0">
            <a:ln w="0"/>
            <a:solidFill>
              <a:schemeClr val="tx1"/>
            </a:solidFill>
            <a:effectLst>
              <a:outerShdw blurRad="38100" dist="19050" dir="2700000" algn="tl" rotWithShape="0">
                <a:schemeClr val="dk1">
                  <a:alpha val="40000"/>
                </a:schemeClr>
              </a:outerShdw>
            </a:effectLst>
          </a:endParaRPr>
        </a:p>
        <a:p>
          <a:pPr algn="ctr"/>
          <a:r>
            <a:rPr lang="fr-BE" sz="1200" b="0" cap="none" spc="0" baseline="0">
              <a:ln w="0"/>
              <a:solidFill>
                <a:schemeClr val="tx1"/>
              </a:solidFill>
              <a:effectLst>
                <a:outerShdw blurRad="38100" dist="19050" dir="2700000" algn="tl" rotWithShape="0">
                  <a:schemeClr val="dk1">
                    <a:alpha val="40000"/>
                  </a:schemeClr>
                </a:outerShdw>
              </a:effectLst>
            </a:rPr>
            <a:t>ET SONT OBTENUS EN FONCTION DES DONNEES INTRODUITS PAR VOS SOINS</a:t>
          </a:r>
          <a:endParaRPr lang="fr-BE" sz="1200" b="0" cap="none" spc="0">
            <a:ln w="0"/>
            <a:solidFill>
              <a:schemeClr val="tx1"/>
            </a:solidFill>
            <a:effectLst>
              <a:outerShdw blurRad="38100" dist="19050" dir="2700000" algn="tl" rotWithShape="0">
                <a:schemeClr val="dk1">
                  <a:alpha val="40000"/>
                </a:schemeClr>
              </a:outerShdw>
            </a:effectLst>
          </a:endParaRPr>
        </a:p>
      </xdr:txBody>
    </xdr:sp>
    <xdr:clientData/>
  </xdr:twoCellAnchor>
  <xdr:twoCellAnchor editAs="oneCell">
    <xdr:from>
      <xdr:col>1</xdr:col>
      <xdr:colOff>278130</xdr:colOff>
      <xdr:row>26</xdr:row>
      <xdr:rowOff>76200</xdr:rowOff>
    </xdr:from>
    <xdr:to>
      <xdr:col>2</xdr:col>
      <xdr:colOff>2729783</xdr:colOff>
      <xdr:row>36</xdr:row>
      <xdr:rowOff>47625</xdr:rowOff>
    </xdr:to>
    <xdr:pic>
      <xdr:nvPicPr>
        <xdr:cNvPr id="4" name="Image 3">
          <a:extLst>
            <a:ext uri="{FF2B5EF4-FFF2-40B4-BE49-F238E27FC236}">
              <a16:creationId xmlns:a16="http://schemas.microsoft.com/office/drawing/2014/main" id="{25851921-6BF8-42E7-9D69-67C48D13C4B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059180" y="8515350"/>
          <a:ext cx="6482715" cy="179641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0</xdr:col>
      <xdr:colOff>361950</xdr:colOff>
      <xdr:row>22</xdr:row>
      <xdr:rowOff>28575</xdr:rowOff>
    </xdr:from>
    <xdr:to>
      <xdr:col>3</xdr:col>
      <xdr:colOff>400050</xdr:colOff>
      <xdr:row>39</xdr:row>
      <xdr:rowOff>142875</xdr:rowOff>
    </xdr:to>
    <xdr:sp macro="" textlink="">
      <xdr:nvSpPr>
        <xdr:cNvPr id="2" name="Rectangle 1">
          <a:extLst>
            <a:ext uri="{FF2B5EF4-FFF2-40B4-BE49-F238E27FC236}">
              <a16:creationId xmlns:a16="http://schemas.microsoft.com/office/drawing/2014/main" id="{EAD51851-BF7D-4A3E-882D-35B16CAFFBBA}"/>
            </a:ext>
          </a:extLst>
        </xdr:cNvPr>
        <xdr:cNvSpPr/>
      </xdr:nvSpPr>
      <xdr:spPr>
        <a:xfrm>
          <a:off x="361950" y="7743825"/>
          <a:ext cx="11106150" cy="3209925"/>
        </a:xfrm>
        <a:prstGeom prst="rect">
          <a:avLst/>
        </a:prstGeom>
        <a:noFill/>
        <a:ln w="3810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fr-BE" sz="1100"/>
        </a:p>
      </xdr:txBody>
    </xdr:sp>
    <xdr:clientData/>
  </xdr:twoCellAnchor>
  <xdr:twoCellAnchor>
    <xdr:from>
      <xdr:col>2</xdr:col>
      <xdr:colOff>1552575</xdr:colOff>
      <xdr:row>29</xdr:row>
      <xdr:rowOff>142875</xdr:rowOff>
    </xdr:from>
    <xdr:to>
      <xdr:col>2</xdr:col>
      <xdr:colOff>2059305</xdr:colOff>
      <xdr:row>32</xdr:row>
      <xdr:rowOff>15240</xdr:rowOff>
    </xdr:to>
    <xdr:sp macro="" textlink="">
      <xdr:nvSpPr>
        <xdr:cNvPr id="5" name="Ellipse 4">
          <a:extLst>
            <a:ext uri="{FF2B5EF4-FFF2-40B4-BE49-F238E27FC236}">
              <a16:creationId xmlns:a16="http://schemas.microsoft.com/office/drawing/2014/main" id="{3B307C8E-DBA8-4D49-8736-875B0F4262B8}"/>
            </a:ext>
            <a:ext uri="{147F2762-F138-4A5C-976F-8EAC2B608ADB}">
              <a16:predDERef xmlns:a16="http://schemas.microsoft.com/office/drawing/2014/main" pred="{EAD51851-BF7D-4A3E-882D-35B16CAFFBBA}"/>
            </a:ext>
          </a:extLst>
        </xdr:cNvPr>
        <xdr:cNvSpPr/>
      </xdr:nvSpPr>
      <xdr:spPr>
        <a:xfrm>
          <a:off x="6267450" y="9686925"/>
          <a:ext cx="506730" cy="443865"/>
        </a:xfrm>
        <a:prstGeom prst="ellipse">
          <a:avLst/>
        </a:prstGeom>
        <a:noFill/>
        <a:ln w="38100">
          <a:solidFill>
            <a:schemeClr val="accent6">
              <a:lumMod val="7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fr-BE" sz="1100"/>
        </a:p>
      </xdr:txBody>
    </xdr:sp>
    <xdr:clientData/>
  </xdr:twoCellAnchor>
  <xdr:twoCellAnchor>
    <xdr:from>
      <xdr:col>1</xdr:col>
      <xdr:colOff>1952625</xdr:colOff>
      <xdr:row>24</xdr:row>
      <xdr:rowOff>180975</xdr:rowOff>
    </xdr:from>
    <xdr:to>
      <xdr:col>2</xdr:col>
      <xdr:colOff>1626784</xdr:colOff>
      <xdr:row>30</xdr:row>
      <xdr:rowOff>17378</xdr:rowOff>
    </xdr:to>
    <xdr:cxnSp macro="">
      <xdr:nvCxnSpPr>
        <xdr:cNvPr id="7" name="Connecteur droit avec flèche 6">
          <a:extLst>
            <a:ext uri="{FF2B5EF4-FFF2-40B4-BE49-F238E27FC236}">
              <a16:creationId xmlns:a16="http://schemas.microsoft.com/office/drawing/2014/main" id="{2F6576E4-CFB4-4AA9-866D-6178AA70618E}"/>
            </a:ext>
            <a:ext uri="{147F2762-F138-4A5C-976F-8EAC2B608ADB}">
              <a16:predDERef xmlns:a16="http://schemas.microsoft.com/office/drawing/2014/main" pred="{3B307C8E-DBA8-4D49-8736-875B0F4262B8}"/>
            </a:ext>
          </a:extLst>
        </xdr:cNvPr>
        <xdr:cNvCxnSpPr>
          <a:cxnSpLocks/>
          <a:endCxn id="5" idx="1"/>
          <a:extLst>
            <a:ext uri="{5F17804C-33F3-41E3-A699-7DCFA2EF7971}">
              <a16:cxnDERefs xmlns:a16="http://schemas.microsoft.com/office/drawing/2014/main" st="{00000000-0000-0000-0000-000000000000}" end="{3B307C8E-DBA8-4D49-8736-875B0F4262B8}"/>
            </a:ext>
          </a:extLst>
        </xdr:cNvCxnSpPr>
      </xdr:nvCxnSpPr>
      <xdr:spPr>
        <a:xfrm>
          <a:off x="2705100" y="8772525"/>
          <a:ext cx="3636559" cy="979403"/>
        </a:xfrm>
        <a:prstGeom prst="straightConnector1">
          <a:avLst/>
        </a:prstGeom>
        <a:ln w="28575">
          <a:solidFill>
            <a:schemeClr val="accent6">
              <a:lumMod val="75000"/>
            </a:schemeClr>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646043</xdr:colOff>
      <xdr:row>11</xdr:row>
      <xdr:rowOff>149086</xdr:rowOff>
    </xdr:from>
    <xdr:to>
      <xdr:col>3</xdr:col>
      <xdr:colOff>215348</xdr:colOff>
      <xdr:row>20</xdr:row>
      <xdr:rowOff>0</xdr:rowOff>
    </xdr:to>
    <xdr:sp macro="" textlink="">
      <xdr:nvSpPr>
        <xdr:cNvPr id="3" name="Rectangle 2">
          <a:extLst>
            <a:ext uri="{FF2B5EF4-FFF2-40B4-BE49-F238E27FC236}">
              <a16:creationId xmlns:a16="http://schemas.microsoft.com/office/drawing/2014/main" id="{14C0E02F-02FC-4750-92E6-C942C7677C01}"/>
            </a:ext>
          </a:extLst>
        </xdr:cNvPr>
        <xdr:cNvSpPr/>
      </xdr:nvSpPr>
      <xdr:spPr>
        <a:xfrm>
          <a:off x="646043" y="4017064"/>
          <a:ext cx="8456544" cy="2882349"/>
        </a:xfrm>
        <a:prstGeom prst="rect">
          <a:avLst/>
        </a:prstGeom>
        <a:noFill/>
        <a:ln w="3810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fr-BE" sz="11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5</xdr:col>
      <xdr:colOff>0</xdr:colOff>
      <xdr:row>285</xdr:row>
      <xdr:rowOff>228601</xdr:rowOff>
    </xdr:from>
    <xdr:to>
      <xdr:col>7</xdr:col>
      <xdr:colOff>2857</xdr:colOff>
      <xdr:row>285</xdr:row>
      <xdr:rowOff>234951</xdr:rowOff>
    </xdr:to>
    <xdr:cxnSp macro="">
      <xdr:nvCxnSpPr>
        <xdr:cNvPr id="62" name="Connecteur droit avec flèche 8">
          <a:extLst>
            <a:ext uri="{FF2B5EF4-FFF2-40B4-BE49-F238E27FC236}">
              <a16:creationId xmlns:a16="http://schemas.microsoft.com/office/drawing/2014/main" id="{9F07741F-5C33-4D03-B003-71C78C82AD63}"/>
            </a:ext>
          </a:extLst>
        </xdr:cNvPr>
        <xdr:cNvCxnSpPr/>
      </xdr:nvCxnSpPr>
      <xdr:spPr>
        <a:xfrm flipV="1">
          <a:off x="9010650" y="73228201"/>
          <a:ext cx="1422082" cy="6350"/>
        </a:xfrm>
        <a:prstGeom prst="straightConnector1">
          <a:avLst/>
        </a:prstGeom>
        <a:ln w="12700">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0</xdr:colOff>
      <xdr:row>245</xdr:row>
      <xdr:rowOff>91281</xdr:rowOff>
    </xdr:from>
    <xdr:to>
      <xdr:col>7</xdr:col>
      <xdr:colOff>2857</xdr:colOff>
      <xdr:row>245</xdr:row>
      <xdr:rowOff>99536</xdr:rowOff>
    </xdr:to>
    <xdr:cxnSp macro="">
      <xdr:nvCxnSpPr>
        <xdr:cNvPr id="61" name="Connecteur droit avec flèche 7">
          <a:extLst>
            <a:ext uri="{FF2B5EF4-FFF2-40B4-BE49-F238E27FC236}">
              <a16:creationId xmlns:a16="http://schemas.microsoft.com/office/drawing/2014/main" id="{FC65BAA3-951F-4618-B5B3-3CD0DFACBC14}"/>
            </a:ext>
          </a:extLst>
        </xdr:cNvPr>
        <xdr:cNvCxnSpPr/>
      </xdr:nvCxnSpPr>
      <xdr:spPr>
        <a:xfrm>
          <a:off x="9024938" y="62992000"/>
          <a:ext cx="1336357" cy="8255"/>
        </a:xfrm>
        <a:prstGeom prst="straightConnector1">
          <a:avLst/>
        </a:prstGeom>
        <a:ln w="12700">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28575</xdr:colOff>
      <xdr:row>9</xdr:row>
      <xdr:rowOff>114300</xdr:rowOff>
    </xdr:from>
    <xdr:to>
      <xdr:col>8</xdr:col>
      <xdr:colOff>26670</xdr:colOff>
      <xdr:row>9</xdr:row>
      <xdr:rowOff>114300</xdr:rowOff>
    </xdr:to>
    <xdr:cxnSp macro="">
      <xdr:nvCxnSpPr>
        <xdr:cNvPr id="10" name="Connecteur droit avec flèche 9">
          <a:extLst>
            <a:ext uri="{FF2B5EF4-FFF2-40B4-BE49-F238E27FC236}">
              <a16:creationId xmlns:a16="http://schemas.microsoft.com/office/drawing/2014/main" id="{8FB35BF7-3C4D-4993-9F56-AE3CE75F4D7B}"/>
            </a:ext>
          </a:extLst>
        </xdr:cNvPr>
        <xdr:cNvCxnSpPr/>
      </xdr:nvCxnSpPr>
      <xdr:spPr>
        <a:xfrm>
          <a:off x="8391525" y="3629025"/>
          <a:ext cx="836295" cy="0"/>
        </a:xfrm>
        <a:prstGeom prst="straightConnector1">
          <a:avLst/>
        </a:prstGeom>
        <a:ln w="12700">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0</xdr:colOff>
      <xdr:row>147</xdr:row>
      <xdr:rowOff>137583</xdr:rowOff>
    </xdr:from>
    <xdr:to>
      <xdr:col>6</xdr:col>
      <xdr:colOff>560917</xdr:colOff>
      <xdr:row>147</xdr:row>
      <xdr:rowOff>140606</xdr:rowOff>
    </xdr:to>
    <xdr:cxnSp macro="">
      <xdr:nvCxnSpPr>
        <xdr:cNvPr id="33" name="Connecteur droit avec flèche 10">
          <a:extLst>
            <a:ext uri="{FF2B5EF4-FFF2-40B4-BE49-F238E27FC236}">
              <a16:creationId xmlns:a16="http://schemas.microsoft.com/office/drawing/2014/main" id="{5DCA94CF-DF90-4F2E-A3E0-68C8730FF557}"/>
            </a:ext>
          </a:extLst>
        </xdr:cNvPr>
        <xdr:cNvCxnSpPr/>
      </xdr:nvCxnSpPr>
      <xdr:spPr>
        <a:xfrm flipV="1">
          <a:off x="8784167" y="32766000"/>
          <a:ext cx="1217083" cy="3023"/>
        </a:xfrm>
        <a:prstGeom prst="straightConnector1">
          <a:avLst/>
        </a:prstGeom>
        <a:ln w="12700">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0</xdr:colOff>
      <xdr:row>154</xdr:row>
      <xdr:rowOff>139065</xdr:rowOff>
    </xdr:from>
    <xdr:to>
      <xdr:col>7</xdr:col>
      <xdr:colOff>19050</xdr:colOff>
      <xdr:row>154</xdr:row>
      <xdr:rowOff>142875</xdr:rowOff>
    </xdr:to>
    <xdr:cxnSp macro="">
      <xdr:nvCxnSpPr>
        <xdr:cNvPr id="43" name="Connecteur droit avec flèche 12">
          <a:extLst>
            <a:ext uri="{FF2B5EF4-FFF2-40B4-BE49-F238E27FC236}">
              <a16:creationId xmlns:a16="http://schemas.microsoft.com/office/drawing/2014/main" id="{0D319429-0DD7-4B12-981F-CC545517AC13}"/>
            </a:ext>
          </a:extLst>
        </xdr:cNvPr>
        <xdr:cNvCxnSpPr/>
      </xdr:nvCxnSpPr>
      <xdr:spPr>
        <a:xfrm flipV="1">
          <a:off x="9039225" y="39105840"/>
          <a:ext cx="1362075" cy="3810"/>
        </a:xfrm>
        <a:prstGeom prst="straightConnector1">
          <a:avLst/>
        </a:prstGeom>
        <a:ln w="12700">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971550</xdr:colOff>
      <xdr:row>158</xdr:row>
      <xdr:rowOff>74295</xdr:rowOff>
    </xdr:from>
    <xdr:to>
      <xdr:col>7</xdr:col>
      <xdr:colOff>1905</xdr:colOff>
      <xdr:row>158</xdr:row>
      <xdr:rowOff>76200</xdr:rowOff>
    </xdr:to>
    <xdr:cxnSp macro="">
      <xdr:nvCxnSpPr>
        <xdr:cNvPr id="48" name="Connecteur droit avec flèche 13">
          <a:extLst>
            <a:ext uri="{FF2B5EF4-FFF2-40B4-BE49-F238E27FC236}">
              <a16:creationId xmlns:a16="http://schemas.microsoft.com/office/drawing/2014/main" id="{A87267C3-9D73-437A-9B1F-3D1928C29944}"/>
            </a:ext>
          </a:extLst>
        </xdr:cNvPr>
        <xdr:cNvCxnSpPr/>
      </xdr:nvCxnSpPr>
      <xdr:spPr>
        <a:xfrm flipV="1">
          <a:off x="9001125" y="40212645"/>
          <a:ext cx="1383030" cy="1905"/>
        </a:xfrm>
        <a:prstGeom prst="straightConnector1">
          <a:avLst/>
        </a:prstGeom>
        <a:ln w="12700">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8738</xdr:colOff>
      <xdr:row>145</xdr:row>
      <xdr:rowOff>174263</xdr:rowOff>
    </xdr:from>
    <xdr:to>
      <xdr:col>7</xdr:col>
      <xdr:colOff>0</xdr:colOff>
      <xdr:row>145</xdr:row>
      <xdr:rowOff>179916</xdr:rowOff>
    </xdr:to>
    <xdr:cxnSp macro="">
      <xdr:nvCxnSpPr>
        <xdr:cNvPr id="23" name="Connecteur droit avec flèche 14">
          <a:extLst>
            <a:ext uri="{FF2B5EF4-FFF2-40B4-BE49-F238E27FC236}">
              <a16:creationId xmlns:a16="http://schemas.microsoft.com/office/drawing/2014/main" id="{25587D83-23EC-4E10-A46B-5D6661208401}"/>
            </a:ext>
          </a:extLst>
        </xdr:cNvPr>
        <xdr:cNvCxnSpPr/>
      </xdr:nvCxnSpPr>
      <xdr:spPr>
        <a:xfrm>
          <a:off x="8792905" y="32262930"/>
          <a:ext cx="1218928" cy="5653"/>
        </a:xfrm>
        <a:prstGeom prst="straightConnector1">
          <a:avLst/>
        </a:prstGeom>
        <a:ln w="12700">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0</xdr:colOff>
      <xdr:row>229</xdr:row>
      <xdr:rowOff>100968</xdr:rowOff>
    </xdr:from>
    <xdr:to>
      <xdr:col>7</xdr:col>
      <xdr:colOff>20955</xdr:colOff>
      <xdr:row>229</xdr:row>
      <xdr:rowOff>111125</xdr:rowOff>
    </xdr:to>
    <xdr:cxnSp macro="">
      <xdr:nvCxnSpPr>
        <xdr:cNvPr id="59" name="Connecteur droit avec flèche 15">
          <a:extLst>
            <a:ext uri="{FF2B5EF4-FFF2-40B4-BE49-F238E27FC236}">
              <a16:creationId xmlns:a16="http://schemas.microsoft.com/office/drawing/2014/main" id="{0FB42435-F480-417A-9E34-2155E829DB11}"/>
            </a:ext>
          </a:extLst>
        </xdr:cNvPr>
        <xdr:cNvCxnSpPr/>
      </xdr:nvCxnSpPr>
      <xdr:spPr>
        <a:xfrm flipV="1">
          <a:off x="8778875" y="48757843"/>
          <a:ext cx="1243330" cy="10157"/>
        </a:xfrm>
        <a:prstGeom prst="straightConnector1">
          <a:avLst/>
        </a:prstGeom>
        <a:ln w="12700">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13</xdr:row>
      <xdr:rowOff>133350</xdr:rowOff>
    </xdr:from>
    <xdr:to>
      <xdr:col>8</xdr:col>
      <xdr:colOff>20955</xdr:colOff>
      <xdr:row>13</xdr:row>
      <xdr:rowOff>133350</xdr:rowOff>
    </xdr:to>
    <xdr:cxnSp macro="">
      <xdr:nvCxnSpPr>
        <xdr:cNvPr id="20" name="Connecteur droit avec flèche 19">
          <a:extLst>
            <a:ext uri="{FF2B5EF4-FFF2-40B4-BE49-F238E27FC236}">
              <a16:creationId xmlns:a16="http://schemas.microsoft.com/office/drawing/2014/main" id="{5249E46C-AEA7-4697-8DFC-424C89DF1434}"/>
            </a:ext>
          </a:extLst>
        </xdr:cNvPr>
        <xdr:cNvCxnSpPr/>
      </xdr:nvCxnSpPr>
      <xdr:spPr>
        <a:xfrm>
          <a:off x="8362950" y="3429000"/>
          <a:ext cx="859155" cy="0"/>
        </a:xfrm>
        <a:prstGeom prst="straightConnector1">
          <a:avLst/>
        </a:prstGeom>
        <a:ln w="12700">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552450</xdr:colOff>
      <xdr:row>32</xdr:row>
      <xdr:rowOff>102870</xdr:rowOff>
    </xdr:from>
    <xdr:to>
      <xdr:col>8</xdr:col>
      <xdr:colOff>15240</xdr:colOff>
      <xdr:row>32</xdr:row>
      <xdr:rowOff>104775</xdr:rowOff>
    </xdr:to>
    <xdr:cxnSp macro="">
      <xdr:nvCxnSpPr>
        <xdr:cNvPr id="21" name="Connecteur droit avec flèche 20">
          <a:extLst>
            <a:ext uri="{FF2B5EF4-FFF2-40B4-BE49-F238E27FC236}">
              <a16:creationId xmlns:a16="http://schemas.microsoft.com/office/drawing/2014/main" id="{66BBB93B-D06A-4A68-A3ED-F8FD60437759}"/>
            </a:ext>
          </a:extLst>
        </xdr:cNvPr>
        <xdr:cNvCxnSpPr/>
      </xdr:nvCxnSpPr>
      <xdr:spPr>
        <a:xfrm flipV="1">
          <a:off x="8915400" y="6646545"/>
          <a:ext cx="300990" cy="1905"/>
        </a:xfrm>
        <a:prstGeom prst="straightConnector1">
          <a:avLst/>
        </a:prstGeom>
        <a:ln w="12700">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0</xdr:colOff>
      <xdr:row>134</xdr:row>
      <xdr:rowOff>108857</xdr:rowOff>
    </xdr:from>
    <xdr:to>
      <xdr:col>7</xdr:col>
      <xdr:colOff>11430</xdr:colOff>
      <xdr:row>134</xdr:row>
      <xdr:rowOff>114300</xdr:rowOff>
    </xdr:to>
    <xdr:cxnSp macro="">
      <xdr:nvCxnSpPr>
        <xdr:cNvPr id="8" name="Connecteur droit avec flèche 17">
          <a:extLst>
            <a:ext uri="{FF2B5EF4-FFF2-40B4-BE49-F238E27FC236}">
              <a16:creationId xmlns:a16="http://schemas.microsoft.com/office/drawing/2014/main" id="{B973747E-D826-4826-93A3-EC3E8B47F1A1}"/>
            </a:ext>
          </a:extLst>
        </xdr:cNvPr>
        <xdr:cNvCxnSpPr/>
      </xdr:nvCxnSpPr>
      <xdr:spPr>
        <a:xfrm>
          <a:off x="8790214" y="29704393"/>
          <a:ext cx="1236073" cy="5443"/>
        </a:xfrm>
        <a:prstGeom prst="straightConnector1">
          <a:avLst/>
        </a:prstGeom>
        <a:ln w="12700">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236367</xdr:colOff>
      <xdr:row>21</xdr:row>
      <xdr:rowOff>19636</xdr:rowOff>
    </xdr:from>
    <xdr:to>
      <xdr:col>6</xdr:col>
      <xdr:colOff>238125</xdr:colOff>
      <xdr:row>22</xdr:row>
      <xdr:rowOff>28575</xdr:rowOff>
    </xdr:to>
    <xdr:cxnSp macro="">
      <xdr:nvCxnSpPr>
        <xdr:cNvPr id="52" name="Connecteur droit avec flèche 32">
          <a:extLst>
            <a:ext uri="{FF2B5EF4-FFF2-40B4-BE49-F238E27FC236}">
              <a16:creationId xmlns:a16="http://schemas.microsoft.com/office/drawing/2014/main" id="{0CBEF3A9-05AB-4FF4-BB09-5E2F41356BED}"/>
            </a:ext>
          </a:extLst>
        </xdr:cNvPr>
        <xdr:cNvCxnSpPr/>
      </xdr:nvCxnSpPr>
      <xdr:spPr>
        <a:xfrm>
          <a:off x="8856492" y="5229811"/>
          <a:ext cx="1758" cy="199439"/>
        </a:xfrm>
        <a:prstGeom prst="straightConnector1">
          <a:avLst/>
        </a:prstGeom>
        <a:ln w="28575">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xdr:row>
      <xdr:rowOff>217170</xdr:rowOff>
    </xdr:from>
    <xdr:to>
      <xdr:col>8</xdr:col>
      <xdr:colOff>17145</xdr:colOff>
      <xdr:row>6</xdr:row>
      <xdr:rowOff>217170</xdr:rowOff>
    </xdr:to>
    <xdr:cxnSp macro="">
      <xdr:nvCxnSpPr>
        <xdr:cNvPr id="37" name="Connecteur droit avec flèche 36">
          <a:extLst>
            <a:ext uri="{FF2B5EF4-FFF2-40B4-BE49-F238E27FC236}">
              <a16:creationId xmlns:a16="http://schemas.microsoft.com/office/drawing/2014/main" id="{797F6D56-6758-4FCB-B94B-6FEBD8AC5978}"/>
            </a:ext>
          </a:extLst>
        </xdr:cNvPr>
        <xdr:cNvCxnSpPr/>
      </xdr:nvCxnSpPr>
      <xdr:spPr>
        <a:xfrm>
          <a:off x="9258300" y="4684395"/>
          <a:ext cx="855345" cy="0"/>
        </a:xfrm>
        <a:prstGeom prst="straightConnector1">
          <a:avLst/>
        </a:prstGeom>
        <a:ln w="12700">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9525</xdr:colOff>
      <xdr:row>39</xdr:row>
      <xdr:rowOff>247650</xdr:rowOff>
    </xdr:from>
    <xdr:to>
      <xdr:col>8</xdr:col>
      <xdr:colOff>24765</xdr:colOff>
      <xdr:row>39</xdr:row>
      <xdr:rowOff>249555</xdr:rowOff>
    </xdr:to>
    <xdr:cxnSp macro="">
      <xdr:nvCxnSpPr>
        <xdr:cNvPr id="22" name="Connecteur droit avec flèche 21">
          <a:extLst>
            <a:ext uri="{FF2B5EF4-FFF2-40B4-BE49-F238E27FC236}">
              <a16:creationId xmlns:a16="http://schemas.microsoft.com/office/drawing/2014/main" id="{89AC7D41-6F6A-4FF3-9EBA-657271984E51}"/>
            </a:ext>
          </a:extLst>
        </xdr:cNvPr>
        <xdr:cNvCxnSpPr/>
      </xdr:nvCxnSpPr>
      <xdr:spPr>
        <a:xfrm flipV="1">
          <a:off x="8934450" y="8801100"/>
          <a:ext cx="272415" cy="1905"/>
        </a:xfrm>
        <a:prstGeom prst="straightConnector1">
          <a:avLst/>
        </a:prstGeom>
        <a:ln w="12700">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0</xdr:colOff>
      <xdr:row>161</xdr:row>
      <xdr:rowOff>179070</xdr:rowOff>
    </xdr:from>
    <xdr:to>
      <xdr:col>7</xdr:col>
      <xdr:colOff>11430</xdr:colOff>
      <xdr:row>161</xdr:row>
      <xdr:rowOff>179070</xdr:rowOff>
    </xdr:to>
    <xdr:cxnSp macro="">
      <xdr:nvCxnSpPr>
        <xdr:cNvPr id="60" name="Connecteur droit avec flèche 23">
          <a:extLst>
            <a:ext uri="{FF2B5EF4-FFF2-40B4-BE49-F238E27FC236}">
              <a16:creationId xmlns:a16="http://schemas.microsoft.com/office/drawing/2014/main" id="{FD865B68-1240-423C-B0E0-973B62AB0F51}"/>
            </a:ext>
          </a:extLst>
        </xdr:cNvPr>
        <xdr:cNvCxnSpPr/>
      </xdr:nvCxnSpPr>
      <xdr:spPr>
        <a:xfrm>
          <a:off x="8001000" y="29858970"/>
          <a:ext cx="1259205" cy="0"/>
        </a:xfrm>
        <a:prstGeom prst="straightConnector1">
          <a:avLst/>
        </a:prstGeom>
        <a:ln w="12700">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0</xdr:colOff>
      <xdr:row>172</xdr:row>
      <xdr:rowOff>91440</xdr:rowOff>
    </xdr:from>
    <xdr:to>
      <xdr:col>7</xdr:col>
      <xdr:colOff>0</xdr:colOff>
      <xdr:row>172</xdr:row>
      <xdr:rowOff>95250</xdr:rowOff>
    </xdr:to>
    <xdr:cxnSp macro="">
      <xdr:nvCxnSpPr>
        <xdr:cNvPr id="49" name="Connecteur droit avec flèche 24">
          <a:extLst>
            <a:ext uri="{FF2B5EF4-FFF2-40B4-BE49-F238E27FC236}">
              <a16:creationId xmlns:a16="http://schemas.microsoft.com/office/drawing/2014/main" id="{375B1B36-9DB1-442B-89BE-EA1293E65AF3}"/>
            </a:ext>
          </a:extLst>
        </xdr:cNvPr>
        <xdr:cNvCxnSpPr/>
      </xdr:nvCxnSpPr>
      <xdr:spPr>
        <a:xfrm flipV="1">
          <a:off x="8778875" y="39286815"/>
          <a:ext cx="1222375" cy="3810"/>
        </a:xfrm>
        <a:prstGeom prst="straightConnector1">
          <a:avLst/>
        </a:prstGeom>
        <a:ln w="12700">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10160</xdr:colOff>
      <xdr:row>183</xdr:row>
      <xdr:rowOff>187960</xdr:rowOff>
    </xdr:from>
    <xdr:to>
      <xdr:col>6</xdr:col>
      <xdr:colOff>542925</xdr:colOff>
      <xdr:row>183</xdr:row>
      <xdr:rowOff>190500</xdr:rowOff>
    </xdr:to>
    <xdr:cxnSp macro="">
      <xdr:nvCxnSpPr>
        <xdr:cNvPr id="55" name="Connecteur droit avec flèche 25">
          <a:extLst>
            <a:ext uri="{FF2B5EF4-FFF2-40B4-BE49-F238E27FC236}">
              <a16:creationId xmlns:a16="http://schemas.microsoft.com/office/drawing/2014/main" id="{1E764D60-FA3C-4B2E-8418-CF4EE981818E}"/>
            </a:ext>
          </a:extLst>
        </xdr:cNvPr>
        <xdr:cNvCxnSpPr/>
      </xdr:nvCxnSpPr>
      <xdr:spPr>
        <a:xfrm>
          <a:off x="8592185" y="41983660"/>
          <a:ext cx="1209040" cy="2540"/>
        </a:xfrm>
        <a:prstGeom prst="straightConnector1">
          <a:avLst/>
        </a:prstGeom>
        <a:ln w="12700">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9525</xdr:colOff>
      <xdr:row>194</xdr:row>
      <xdr:rowOff>333375</xdr:rowOff>
    </xdr:from>
    <xdr:to>
      <xdr:col>7</xdr:col>
      <xdr:colOff>19050</xdr:colOff>
      <xdr:row>194</xdr:row>
      <xdr:rowOff>333375</xdr:rowOff>
    </xdr:to>
    <xdr:cxnSp macro="">
      <xdr:nvCxnSpPr>
        <xdr:cNvPr id="28" name="Connecteur droit avec flèche 27">
          <a:extLst>
            <a:ext uri="{FF2B5EF4-FFF2-40B4-BE49-F238E27FC236}">
              <a16:creationId xmlns:a16="http://schemas.microsoft.com/office/drawing/2014/main" id="{4280D05C-D28D-41E0-8E01-D303A32F4C2A}"/>
            </a:ext>
          </a:extLst>
        </xdr:cNvPr>
        <xdr:cNvCxnSpPr/>
      </xdr:nvCxnSpPr>
      <xdr:spPr>
        <a:xfrm>
          <a:off x="7724775" y="35718750"/>
          <a:ext cx="1219200" cy="0"/>
        </a:xfrm>
        <a:prstGeom prst="straightConnector1">
          <a:avLst/>
        </a:prstGeom>
        <a:ln w="12700">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4022</xdr:colOff>
      <xdr:row>230</xdr:row>
      <xdr:rowOff>171453</xdr:rowOff>
    </xdr:from>
    <xdr:to>
      <xdr:col>7</xdr:col>
      <xdr:colOff>23072</xdr:colOff>
      <xdr:row>230</xdr:row>
      <xdr:rowOff>171453</xdr:rowOff>
    </xdr:to>
    <xdr:cxnSp macro="">
      <xdr:nvCxnSpPr>
        <xdr:cNvPr id="30" name="Connecteur droit avec flèche 29">
          <a:extLst>
            <a:ext uri="{FF2B5EF4-FFF2-40B4-BE49-F238E27FC236}">
              <a16:creationId xmlns:a16="http://schemas.microsoft.com/office/drawing/2014/main" id="{D33DD3CD-7652-4D46-BC89-5BFF65628471}"/>
            </a:ext>
          </a:extLst>
        </xdr:cNvPr>
        <xdr:cNvCxnSpPr/>
      </xdr:nvCxnSpPr>
      <xdr:spPr>
        <a:xfrm>
          <a:off x="7719272" y="38519103"/>
          <a:ext cx="1228725" cy="0"/>
        </a:xfrm>
        <a:prstGeom prst="straightConnector1">
          <a:avLst/>
        </a:prstGeom>
        <a:ln w="12700">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11906</xdr:colOff>
      <xdr:row>235</xdr:row>
      <xdr:rowOff>42390</xdr:rowOff>
    </xdr:from>
    <xdr:to>
      <xdr:col>7</xdr:col>
      <xdr:colOff>29263</xdr:colOff>
      <xdr:row>235</xdr:row>
      <xdr:rowOff>43657</xdr:rowOff>
    </xdr:to>
    <xdr:cxnSp macro="">
      <xdr:nvCxnSpPr>
        <xdr:cNvPr id="54" name="Connecteur droit avec flèche 30">
          <a:extLst>
            <a:ext uri="{FF2B5EF4-FFF2-40B4-BE49-F238E27FC236}">
              <a16:creationId xmlns:a16="http://schemas.microsoft.com/office/drawing/2014/main" id="{161F06CE-69CE-4C05-B426-B5BE9A14DE0A}"/>
            </a:ext>
          </a:extLst>
        </xdr:cNvPr>
        <xdr:cNvCxnSpPr/>
      </xdr:nvCxnSpPr>
      <xdr:spPr>
        <a:xfrm flipV="1">
          <a:off x="9036844" y="61145265"/>
          <a:ext cx="1350857" cy="1267"/>
        </a:xfrm>
        <a:prstGeom prst="straightConnector1">
          <a:avLst/>
        </a:prstGeom>
        <a:ln w="12700">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994569</xdr:colOff>
      <xdr:row>244</xdr:row>
      <xdr:rowOff>83344</xdr:rowOff>
    </xdr:from>
    <xdr:to>
      <xdr:col>7</xdr:col>
      <xdr:colOff>9525</xdr:colOff>
      <xdr:row>244</xdr:row>
      <xdr:rowOff>85725</xdr:rowOff>
    </xdr:to>
    <xdr:cxnSp macro="">
      <xdr:nvCxnSpPr>
        <xdr:cNvPr id="57" name="Connecteur droit avec flèche 34">
          <a:extLst>
            <a:ext uri="{FF2B5EF4-FFF2-40B4-BE49-F238E27FC236}">
              <a16:creationId xmlns:a16="http://schemas.microsoft.com/office/drawing/2014/main" id="{F0CB0391-EFA5-4BF4-A62E-8340627F48DD}"/>
            </a:ext>
          </a:extLst>
        </xdr:cNvPr>
        <xdr:cNvCxnSpPr/>
      </xdr:nvCxnSpPr>
      <xdr:spPr>
        <a:xfrm>
          <a:off x="8995569" y="64186594"/>
          <a:ext cx="1443831" cy="2381"/>
        </a:xfrm>
        <a:prstGeom prst="straightConnector1">
          <a:avLst/>
        </a:prstGeom>
        <a:ln w="12700">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19050</xdr:colOff>
      <xdr:row>192</xdr:row>
      <xdr:rowOff>190500</xdr:rowOff>
    </xdr:from>
    <xdr:to>
      <xdr:col>7</xdr:col>
      <xdr:colOff>28575</xdr:colOff>
      <xdr:row>192</xdr:row>
      <xdr:rowOff>190500</xdr:rowOff>
    </xdr:to>
    <xdr:cxnSp macro="">
      <xdr:nvCxnSpPr>
        <xdr:cNvPr id="36" name="Connecteur droit avec flèche 35">
          <a:extLst>
            <a:ext uri="{FF2B5EF4-FFF2-40B4-BE49-F238E27FC236}">
              <a16:creationId xmlns:a16="http://schemas.microsoft.com/office/drawing/2014/main" id="{93913670-CAC7-48BC-A0F3-06A15A5341F5}"/>
            </a:ext>
          </a:extLst>
        </xdr:cNvPr>
        <xdr:cNvCxnSpPr/>
      </xdr:nvCxnSpPr>
      <xdr:spPr>
        <a:xfrm>
          <a:off x="7734300" y="34966275"/>
          <a:ext cx="1219200" cy="0"/>
        </a:xfrm>
        <a:prstGeom prst="straightConnector1">
          <a:avLst/>
        </a:prstGeom>
        <a:ln w="12700">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990337</xdr:colOff>
      <xdr:row>237</xdr:row>
      <xdr:rowOff>95729</xdr:rowOff>
    </xdr:from>
    <xdr:to>
      <xdr:col>7</xdr:col>
      <xdr:colOff>24025</xdr:colOff>
      <xdr:row>237</xdr:row>
      <xdr:rowOff>95729</xdr:rowOff>
    </xdr:to>
    <xdr:cxnSp macro="">
      <xdr:nvCxnSpPr>
        <xdr:cNvPr id="40" name="Connecteur droit avec flèche 39">
          <a:extLst>
            <a:ext uri="{FF2B5EF4-FFF2-40B4-BE49-F238E27FC236}">
              <a16:creationId xmlns:a16="http://schemas.microsoft.com/office/drawing/2014/main" id="{BA2471EA-DEA2-4C8C-8C56-0C3648FE9D09}"/>
            </a:ext>
          </a:extLst>
        </xdr:cNvPr>
        <xdr:cNvCxnSpPr/>
      </xdr:nvCxnSpPr>
      <xdr:spPr>
        <a:xfrm>
          <a:off x="9003243" y="61531979"/>
          <a:ext cx="1379220" cy="0"/>
        </a:xfrm>
        <a:prstGeom prst="straightConnector1">
          <a:avLst/>
        </a:prstGeom>
        <a:ln w="12700">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7620</xdr:colOff>
      <xdr:row>248</xdr:row>
      <xdr:rowOff>100965</xdr:rowOff>
    </xdr:from>
    <xdr:to>
      <xdr:col>7</xdr:col>
      <xdr:colOff>4762</xdr:colOff>
      <xdr:row>248</xdr:row>
      <xdr:rowOff>104775</xdr:rowOff>
    </xdr:to>
    <xdr:cxnSp macro="">
      <xdr:nvCxnSpPr>
        <xdr:cNvPr id="12" name="Connecteur droit avec flèche 40">
          <a:extLst>
            <a:ext uri="{FF2B5EF4-FFF2-40B4-BE49-F238E27FC236}">
              <a16:creationId xmlns:a16="http://schemas.microsoft.com/office/drawing/2014/main" id="{B9176E59-1F1C-4D99-91A5-2501742C6D45}"/>
            </a:ext>
          </a:extLst>
        </xdr:cNvPr>
        <xdr:cNvCxnSpPr/>
      </xdr:nvCxnSpPr>
      <xdr:spPr>
        <a:xfrm>
          <a:off x="9032558" y="63180278"/>
          <a:ext cx="1330642" cy="3810"/>
        </a:xfrm>
        <a:prstGeom prst="straightConnector1">
          <a:avLst/>
        </a:prstGeom>
        <a:ln w="12700">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4605</xdr:colOff>
      <xdr:row>283</xdr:row>
      <xdr:rowOff>228600</xdr:rowOff>
    </xdr:from>
    <xdr:to>
      <xdr:col>7</xdr:col>
      <xdr:colOff>19050</xdr:colOff>
      <xdr:row>283</xdr:row>
      <xdr:rowOff>228600</xdr:rowOff>
    </xdr:to>
    <xdr:cxnSp macro="">
      <xdr:nvCxnSpPr>
        <xdr:cNvPr id="26" name="Connecteur droit avec flèche 41">
          <a:extLst>
            <a:ext uri="{FF2B5EF4-FFF2-40B4-BE49-F238E27FC236}">
              <a16:creationId xmlns:a16="http://schemas.microsoft.com/office/drawing/2014/main" id="{5285F804-247E-4C1C-876D-09D109DE4BEA}"/>
            </a:ext>
          </a:extLst>
        </xdr:cNvPr>
        <xdr:cNvCxnSpPr/>
      </xdr:nvCxnSpPr>
      <xdr:spPr>
        <a:xfrm flipV="1">
          <a:off x="9015255" y="72256650"/>
          <a:ext cx="1433670" cy="0"/>
        </a:xfrm>
        <a:prstGeom prst="straightConnector1">
          <a:avLst/>
        </a:prstGeom>
        <a:ln w="12700">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23813</xdr:colOff>
      <xdr:row>253</xdr:row>
      <xdr:rowOff>428625</xdr:rowOff>
    </xdr:from>
    <xdr:to>
      <xdr:col>7</xdr:col>
      <xdr:colOff>11906</xdr:colOff>
      <xdr:row>253</xdr:row>
      <xdr:rowOff>434499</xdr:rowOff>
    </xdr:to>
    <xdr:cxnSp macro="">
      <xdr:nvCxnSpPr>
        <xdr:cNvPr id="67" name="Connecteur droit avec flèche 44">
          <a:extLst>
            <a:ext uri="{FF2B5EF4-FFF2-40B4-BE49-F238E27FC236}">
              <a16:creationId xmlns:a16="http://schemas.microsoft.com/office/drawing/2014/main" id="{FFC826FB-89D0-4575-BB77-0A75D02F4B36}"/>
            </a:ext>
          </a:extLst>
        </xdr:cNvPr>
        <xdr:cNvCxnSpPr/>
      </xdr:nvCxnSpPr>
      <xdr:spPr>
        <a:xfrm flipV="1">
          <a:off x="9048751" y="64400906"/>
          <a:ext cx="1321593" cy="5874"/>
        </a:xfrm>
        <a:prstGeom prst="straightConnector1">
          <a:avLst/>
        </a:prstGeom>
        <a:ln w="12700">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1000125</xdr:colOff>
      <xdr:row>137</xdr:row>
      <xdr:rowOff>133350</xdr:rowOff>
    </xdr:from>
    <xdr:to>
      <xdr:col>7</xdr:col>
      <xdr:colOff>0</xdr:colOff>
      <xdr:row>137</xdr:row>
      <xdr:rowOff>142875</xdr:rowOff>
    </xdr:to>
    <xdr:cxnSp macro="">
      <xdr:nvCxnSpPr>
        <xdr:cNvPr id="9" name="Connecteur droit avec flèche 47">
          <a:extLst>
            <a:ext uri="{FF2B5EF4-FFF2-40B4-BE49-F238E27FC236}">
              <a16:creationId xmlns:a16="http://schemas.microsoft.com/office/drawing/2014/main" id="{A4E14AB5-EB5C-490C-8B8D-FCF0BA87CAC0}"/>
            </a:ext>
          </a:extLst>
        </xdr:cNvPr>
        <xdr:cNvCxnSpPr/>
      </xdr:nvCxnSpPr>
      <xdr:spPr>
        <a:xfrm flipV="1">
          <a:off x="9029700" y="36518850"/>
          <a:ext cx="1352550" cy="9525"/>
        </a:xfrm>
        <a:prstGeom prst="straightConnector1">
          <a:avLst/>
        </a:prstGeom>
        <a:ln w="12700">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0</xdr:colOff>
      <xdr:row>140</xdr:row>
      <xdr:rowOff>76200</xdr:rowOff>
    </xdr:from>
    <xdr:to>
      <xdr:col>7</xdr:col>
      <xdr:colOff>1905</xdr:colOff>
      <xdr:row>140</xdr:row>
      <xdr:rowOff>79375</xdr:rowOff>
    </xdr:to>
    <xdr:cxnSp macro="">
      <xdr:nvCxnSpPr>
        <xdr:cNvPr id="5" name="Connecteur droit avec flèche 43">
          <a:extLst>
            <a:ext uri="{FF2B5EF4-FFF2-40B4-BE49-F238E27FC236}">
              <a16:creationId xmlns:a16="http://schemas.microsoft.com/office/drawing/2014/main" id="{7F04B7F1-4B2C-46D2-B340-72122660034A}"/>
            </a:ext>
          </a:extLst>
        </xdr:cNvPr>
        <xdr:cNvCxnSpPr/>
      </xdr:nvCxnSpPr>
      <xdr:spPr>
        <a:xfrm flipV="1">
          <a:off x="8778875" y="30937200"/>
          <a:ext cx="1224280" cy="3175"/>
        </a:xfrm>
        <a:prstGeom prst="straightConnector1">
          <a:avLst/>
        </a:prstGeom>
        <a:ln w="12700">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0</xdr:colOff>
      <xdr:row>181</xdr:row>
      <xdr:rowOff>201930</xdr:rowOff>
    </xdr:from>
    <xdr:to>
      <xdr:col>6</xdr:col>
      <xdr:colOff>548640</xdr:colOff>
      <xdr:row>181</xdr:row>
      <xdr:rowOff>206375</xdr:rowOff>
    </xdr:to>
    <xdr:cxnSp macro="">
      <xdr:nvCxnSpPr>
        <xdr:cNvPr id="51" name="Connecteur droit avec flèche 51">
          <a:extLst>
            <a:ext uri="{FF2B5EF4-FFF2-40B4-BE49-F238E27FC236}">
              <a16:creationId xmlns:a16="http://schemas.microsoft.com/office/drawing/2014/main" id="{92B4E765-E4BF-4438-839F-8A18DA1D9177}"/>
            </a:ext>
          </a:extLst>
        </xdr:cNvPr>
        <xdr:cNvCxnSpPr/>
      </xdr:nvCxnSpPr>
      <xdr:spPr>
        <a:xfrm flipV="1">
          <a:off x="8778875" y="41397555"/>
          <a:ext cx="1199515" cy="4445"/>
        </a:xfrm>
        <a:prstGeom prst="straightConnector1">
          <a:avLst/>
        </a:prstGeom>
        <a:ln w="12700">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0</xdr:colOff>
      <xdr:row>165</xdr:row>
      <xdr:rowOff>97155</xdr:rowOff>
    </xdr:from>
    <xdr:to>
      <xdr:col>7</xdr:col>
      <xdr:colOff>15240</xdr:colOff>
      <xdr:row>165</xdr:row>
      <xdr:rowOff>97155</xdr:rowOff>
    </xdr:to>
    <xdr:cxnSp macro="">
      <xdr:nvCxnSpPr>
        <xdr:cNvPr id="64" name="Connecteur droit avec flèche 62">
          <a:extLst>
            <a:ext uri="{FF2B5EF4-FFF2-40B4-BE49-F238E27FC236}">
              <a16:creationId xmlns:a16="http://schemas.microsoft.com/office/drawing/2014/main" id="{62618D01-6AB9-4135-9563-447D0551228B}"/>
            </a:ext>
          </a:extLst>
        </xdr:cNvPr>
        <xdr:cNvCxnSpPr/>
      </xdr:nvCxnSpPr>
      <xdr:spPr>
        <a:xfrm>
          <a:off x="8001000" y="30862905"/>
          <a:ext cx="1263015" cy="0"/>
        </a:xfrm>
        <a:prstGeom prst="straightConnector1">
          <a:avLst/>
        </a:prstGeom>
        <a:ln w="12700">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31750</xdr:colOff>
      <xdr:row>186</xdr:row>
      <xdr:rowOff>168910</xdr:rowOff>
    </xdr:from>
    <xdr:to>
      <xdr:col>6</xdr:col>
      <xdr:colOff>558800</xdr:colOff>
      <xdr:row>186</xdr:row>
      <xdr:rowOff>174625</xdr:rowOff>
    </xdr:to>
    <xdr:cxnSp macro="">
      <xdr:nvCxnSpPr>
        <xdr:cNvPr id="50" name="Connecteur droit avec flèche 25">
          <a:extLst>
            <a:ext uri="{FF2B5EF4-FFF2-40B4-BE49-F238E27FC236}">
              <a16:creationId xmlns:a16="http://schemas.microsoft.com/office/drawing/2014/main" id="{98F94C43-1D13-4DC0-A297-265893CF4A0A}"/>
            </a:ext>
          </a:extLst>
        </xdr:cNvPr>
        <xdr:cNvCxnSpPr/>
      </xdr:nvCxnSpPr>
      <xdr:spPr>
        <a:xfrm flipV="1">
          <a:off x="8810625" y="42952035"/>
          <a:ext cx="1177925" cy="5715"/>
        </a:xfrm>
        <a:prstGeom prst="straightConnector1">
          <a:avLst/>
        </a:prstGeom>
        <a:ln w="12700">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15586</xdr:colOff>
      <xdr:row>21</xdr:row>
      <xdr:rowOff>97502</xdr:rowOff>
    </xdr:from>
    <xdr:to>
      <xdr:col>8</xdr:col>
      <xdr:colOff>36541</xdr:colOff>
      <xdr:row>21</xdr:row>
      <xdr:rowOff>97502</xdr:rowOff>
    </xdr:to>
    <xdr:cxnSp macro="">
      <xdr:nvCxnSpPr>
        <xdr:cNvPr id="42" name="Connecteur droit avec flèche 41">
          <a:extLst>
            <a:ext uri="{FF2B5EF4-FFF2-40B4-BE49-F238E27FC236}">
              <a16:creationId xmlns:a16="http://schemas.microsoft.com/office/drawing/2014/main" id="{315747C6-645B-4B51-B024-EFB3F8365C52}"/>
            </a:ext>
          </a:extLst>
        </xdr:cNvPr>
        <xdr:cNvCxnSpPr/>
      </xdr:nvCxnSpPr>
      <xdr:spPr>
        <a:xfrm>
          <a:off x="9185563" y="6903547"/>
          <a:ext cx="834910" cy="0"/>
        </a:xfrm>
        <a:prstGeom prst="straightConnector1">
          <a:avLst/>
        </a:prstGeom>
        <a:ln w="12700">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550718</xdr:colOff>
      <xdr:row>29</xdr:row>
      <xdr:rowOff>100272</xdr:rowOff>
    </xdr:from>
    <xdr:to>
      <xdr:col>8</xdr:col>
      <xdr:colOff>13508</xdr:colOff>
      <xdr:row>29</xdr:row>
      <xdr:rowOff>102177</xdr:rowOff>
    </xdr:to>
    <xdr:cxnSp macro="">
      <xdr:nvCxnSpPr>
        <xdr:cNvPr id="46" name="Connecteur droit avec flèche 45">
          <a:extLst>
            <a:ext uri="{FF2B5EF4-FFF2-40B4-BE49-F238E27FC236}">
              <a16:creationId xmlns:a16="http://schemas.microsoft.com/office/drawing/2014/main" id="{F556AE68-CC84-473F-B1F3-35C4557A6087}"/>
            </a:ext>
          </a:extLst>
        </xdr:cNvPr>
        <xdr:cNvCxnSpPr/>
      </xdr:nvCxnSpPr>
      <xdr:spPr>
        <a:xfrm flipV="1">
          <a:off x="9720695" y="9200977"/>
          <a:ext cx="276745" cy="1905"/>
        </a:xfrm>
        <a:prstGeom prst="straightConnector1">
          <a:avLst/>
        </a:prstGeom>
        <a:ln w="12700">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5</xdr:row>
      <xdr:rowOff>154305</xdr:rowOff>
    </xdr:from>
    <xdr:to>
      <xdr:col>8</xdr:col>
      <xdr:colOff>17145</xdr:colOff>
      <xdr:row>5</xdr:row>
      <xdr:rowOff>154305</xdr:rowOff>
    </xdr:to>
    <xdr:cxnSp macro="">
      <xdr:nvCxnSpPr>
        <xdr:cNvPr id="38" name="Connecteur droit avec flèche 37">
          <a:extLst>
            <a:ext uri="{FF2B5EF4-FFF2-40B4-BE49-F238E27FC236}">
              <a16:creationId xmlns:a16="http://schemas.microsoft.com/office/drawing/2014/main" id="{850CA68F-0DCE-45B1-8A26-8D841E00C59B}"/>
            </a:ext>
          </a:extLst>
        </xdr:cNvPr>
        <xdr:cNvCxnSpPr/>
      </xdr:nvCxnSpPr>
      <xdr:spPr>
        <a:xfrm>
          <a:off x="9258300" y="4183380"/>
          <a:ext cx="855345" cy="0"/>
        </a:xfrm>
        <a:prstGeom prst="straightConnector1">
          <a:avLst/>
        </a:prstGeom>
        <a:ln w="12700">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1010366</xdr:colOff>
      <xdr:row>203</xdr:row>
      <xdr:rowOff>104340</xdr:rowOff>
    </xdr:from>
    <xdr:to>
      <xdr:col>7</xdr:col>
      <xdr:colOff>11906</xdr:colOff>
      <xdr:row>203</xdr:row>
      <xdr:rowOff>107156</xdr:rowOff>
    </xdr:to>
    <xdr:cxnSp macro="">
      <xdr:nvCxnSpPr>
        <xdr:cNvPr id="2" name="Connecteur droit avec flèche 25">
          <a:extLst>
            <a:ext uri="{FF2B5EF4-FFF2-40B4-BE49-F238E27FC236}">
              <a16:creationId xmlns:a16="http://schemas.microsoft.com/office/drawing/2014/main" id="{62C1284E-F75B-4FC8-8A81-9D658AB456C2}"/>
            </a:ext>
          </a:extLst>
        </xdr:cNvPr>
        <xdr:cNvCxnSpPr/>
      </xdr:nvCxnSpPr>
      <xdr:spPr>
        <a:xfrm>
          <a:off x="9023272" y="52979996"/>
          <a:ext cx="1347072" cy="2816"/>
        </a:xfrm>
        <a:prstGeom prst="straightConnector1">
          <a:avLst/>
        </a:prstGeom>
        <a:ln w="12700">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998460</xdr:colOff>
      <xdr:row>205</xdr:row>
      <xdr:rowOff>178210</xdr:rowOff>
    </xdr:from>
    <xdr:to>
      <xdr:col>7</xdr:col>
      <xdr:colOff>23812</xdr:colOff>
      <xdr:row>205</xdr:row>
      <xdr:rowOff>178594</xdr:rowOff>
    </xdr:to>
    <xdr:cxnSp macro="">
      <xdr:nvCxnSpPr>
        <xdr:cNvPr id="3" name="Connecteur droit avec flèche 25">
          <a:extLst>
            <a:ext uri="{FF2B5EF4-FFF2-40B4-BE49-F238E27FC236}">
              <a16:creationId xmlns:a16="http://schemas.microsoft.com/office/drawing/2014/main" id="{817C0139-4337-4FA5-95F4-C0BD9B65A730}"/>
            </a:ext>
          </a:extLst>
        </xdr:cNvPr>
        <xdr:cNvCxnSpPr/>
      </xdr:nvCxnSpPr>
      <xdr:spPr>
        <a:xfrm>
          <a:off x="9011366" y="53482491"/>
          <a:ext cx="1370884" cy="384"/>
        </a:xfrm>
        <a:prstGeom prst="straightConnector1">
          <a:avLst/>
        </a:prstGeom>
        <a:ln w="12700">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1008702</xdr:colOff>
      <xdr:row>206</xdr:row>
      <xdr:rowOff>107156</xdr:rowOff>
    </xdr:from>
    <xdr:to>
      <xdr:col>7</xdr:col>
      <xdr:colOff>-1</xdr:colOff>
      <xdr:row>206</xdr:row>
      <xdr:rowOff>107176</xdr:rowOff>
    </xdr:to>
    <xdr:cxnSp macro="">
      <xdr:nvCxnSpPr>
        <xdr:cNvPr id="4" name="Connecteur droit avec flèche 25">
          <a:extLst>
            <a:ext uri="{FF2B5EF4-FFF2-40B4-BE49-F238E27FC236}">
              <a16:creationId xmlns:a16="http://schemas.microsoft.com/office/drawing/2014/main" id="{FABE29F7-2828-4F60-9893-D6786798C0E7}"/>
            </a:ext>
          </a:extLst>
        </xdr:cNvPr>
        <xdr:cNvCxnSpPr/>
      </xdr:nvCxnSpPr>
      <xdr:spPr>
        <a:xfrm flipV="1">
          <a:off x="9021608" y="53816250"/>
          <a:ext cx="1336829" cy="20"/>
        </a:xfrm>
        <a:prstGeom prst="straightConnector1">
          <a:avLst/>
        </a:prstGeom>
        <a:ln w="12700">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10483</xdr:colOff>
      <xdr:row>208</xdr:row>
      <xdr:rowOff>369093</xdr:rowOff>
    </xdr:from>
    <xdr:to>
      <xdr:col>6</xdr:col>
      <xdr:colOff>535781</xdr:colOff>
      <xdr:row>208</xdr:row>
      <xdr:rowOff>383520</xdr:rowOff>
    </xdr:to>
    <xdr:cxnSp macro="">
      <xdr:nvCxnSpPr>
        <xdr:cNvPr id="6" name="Connecteur droit avec flèche 25">
          <a:extLst>
            <a:ext uri="{FF2B5EF4-FFF2-40B4-BE49-F238E27FC236}">
              <a16:creationId xmlns:a16="http://schemas.microsoft.com/office/drawing/2014/main" id="{E8533897-E100-4BCD-B5D7-BF715E1D7453}"/>
            </a:ext>
          </a:extLst>
        </xdr:cNvPr>
        <xdr:cNvCxnSpPr/>
      </xdr:nvCxnSpPr>
      <xdr:spPr>
        <a:xfrm flipV="1">
          <a:off x="9035421" y="54947343"/>
          <a:ext cx="1311110" cy="14427"/>
        </a:xfrm>
        <a:prstGeom prst="straightConnector1">
          <a:avLst/>
        </a:prstGeom>
        <a:ln w="12700">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12163</xdr:colOff>
      <xdr:row>207</xdr:row>
      <xdr:rowOff>93939</xdr:rowOff>
    </xdr:from>
    <xdr:to>
      <xdr:col>7</xdr:col>
      <xdr:colOff>11906</xdr:colOff>
      <xdr:row>207</xdr:row>
      <xdr:rowOff>95250</xdr:rowOff>
    </xdr:to>
    <xdr:cxnSp macro="">
      <xdr:nvCxnSpPr>
        <xdr:cNvPr id="7" name="Connecteur droit avec flèche 25">
          <a:extLst>
            <a:ext uri="{FF2B5EF4-FFF2-40B4-BE49-F238E27FC236}">
              <a16:creationId xmlns:a16="http://schemas.microsoft.com/office/drawing/2014/main" id="{0E2B689A-54C9-469B-88CC-16967BF5E1A4}"/>
            </a:ext>
          </a:extLst>
        </xdr:cNvPr>
        <xdr:cNvCxnSpPr/>
      </xdr:nvCxnSpPr>
      <xdr:spPr>
        <a:xfrm>
          <a:off x="9037101" y="53993533"/>
          <a:ext cx="1333243" cy="1311"/>
        </a:xfrm>
        <a:prstGeom prst="straightConnector1">
          <a:avLst/>
        </a:prstGeom>
        <a:ln w="12700">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171450</xdr:colOff>
      <xdr:row>213</xdr:row>
      <xdr:rowOff>9525</xdr:rowOff>
    </xdr:from>
    <xdr:to>
      <xdr:col>6</xdr:col>
      <xdr:colOff>533400</xdr:colOff>
      <xdr:row>213</xdr:row>
      <xdr:rowOff>11906</xdr:rowOff>
    </xdr:to>
    <xdr:cxnSp macro="">
      <xdr:nvCxnSpPr>
        <xdr:cNvPr id="29" name="Connecteur droit avec flèche 25">
          <a:extLst>
            <a:ext uri="{FF2B5EF4-FFF2-40B4-BE49-F238E27FC236}">
              <a16:creationId xmlns:a16="http://schemas.microsoft.com/office/drawing/2014/main" id="{FA830E54-CEBE-48D5-865A-EBBA69CB7C6D}"/>
            </a:ext>
          </a:extLst>
        </xdr:cNvPr>
        <xdr:cNvCxnSpPr>
          <a:stCxn id="32" idx="1"/>
        </xdr:cNvCxnSpPr>
      </xdr:nvCxnSpPr>
      <xdr:spPr>
        <a:xfrm flipV="1">
          <a:off x="9210675" y="57054750"/>
          <a:ext cx="1152525" cy="2381"/>
        </a:xfrm>
        <a:prstGeom prst="straightConnector1">
          <a:avLst/>
        </a:prstGeom>
        <a:ln w="12700">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120968</xdr:colOff>
      <xdr:row>211</xdr:row>
      <xdr:rowOff>300037</xdr:rowOff>
    </xdr:from>
    <xdr:to>
      <xdr:col>5</xdr:col>
      <xdr:colOff>171450</xdr:colOff>
      <xdr:row>215</xdr:row>
      <xdr:rowOff>0</xdr:rowOff>
    </xdr:to>
    <xdr:sp macro="" textlink="">
      <xdr:nvSpPr>
        <xdr:cNvPr id="32" name="Accolade fermante 31">
          <a:extLst>
            <a:ext uri="{FF2B5EF4-FFF2-40B4-BE49-F238E27FC236}">
              <a16:creationId xmlns:a16="http://schemas.microsoft.com/office/drawing/2014/main" id="{630614BC-AB3B-A6C5-9BA7-F1522D16DFFB}"/>
            </a:ext>
          </a:extLst>
        </xdr:cNvPr>
        <xdr:cNvSpPr/>
      </xdr:nvSpPr>
      <xdr:spPr>
        <a:xfrm>
          <a:off x="9160193" y="56630887"/>
          <a:ext cx="50482" cy="852488"/>
        </a:xfrm>
        <a:prstGeom prst="rightBrace">
          <a:avLst/>
        </a:prstGeom>
        <a:ln>
          <a:solidFill>
            <a:srgbClr val="C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lang="fr-BE" sz="1100"/>
        </a:p>
      </xdr:txBody>
    </xdr:sp>
    <xdr:clientData/>
  </xdr:twoCellAnchor>
  <xdr:twoCellAnchor>
    <xdr:from>
      <xdr:col>5</xdr:col>
      <xdr:colOff>0</xdr:colOff>
      <xdr:row>215</xdr:row>
      <xdr:rowOff>291465</xdr:rowOff>
    </xdr:from>
    <xdr:to>
      <xdr:col>7</xdr:col>
      <xdr:colOff>15240</xdr:colOff>
      <xdr:row>215</xdr:row>
      <xdr:rowOff>294660</xdr:rowOff>
    </xdr:to>
    <xdr:cxnSp macro="">
      <xdr:nvCxnSpPr>
        <xdr:cNvPr id="39" name="Connecteur droit avec flèche 25">
          <a:extLst>
            <a:ext uri="{FF2B5EF4-FFF2-40B4-BE49-F238E27FC236}">
              <a16:creationId xmlns:a16="http://schemas.microsoft.com/office/drawing/2014/main" id="{A7472048-39FF-4BC6-954A-24C45E0BE367}"/>
            </a:ext>
          </a:extLst>
        </xdr:cNvPr>
        <xdr:cNvCxnSpPr/>
      </xdr:nvCxnSpPr>
      <xdr:spPr>
        <a:xfrm flipV="1">
          <a:off x="9024938" y="57596246"/>
          <a:ext cx="1348740" cy="3195"/>
        </a:xfrm>
        <a:prstGeom prst="straightConnector1">
          <a:avLst/>
        </a:prstGeom>
        <a:ln w="12700">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0</xdr:colOff>
      <xdr:row>217</xdr:row>
      <xdr:rowOff>200502</xdr:rowOff>
    </xdr:from>
    <xdr:to>
      <xdr:col>7</xdr:col>
      <xdr:colOff>0</xdr:colOff>
      <xdr:row>217</xdr:row>
      <xdr:rowOff>202407</xdr:rowOff>
    </xdr:to>
    <xdr:cxnSp macro="">
      <xdr:nvCxnSpPr>
        <xdr:cNvPr id="41" name="Connecteur droit avec flèche 25">
          <a:extLst>
            <a:ext uri="{FF2B5EF4-FFF2-40B4-BE49-F238E27FC236}">
              <a16:creationId xmlns:a16="http://schemas.microsoft.com/office/drawing/2014/main" id="{1EDA3B26-C480-4E56-901C-8694E61EC6DD}"/>
            </a:ext>
          </a:extLst>
        </xdr:cNvPr>
        <xdr:cNvCxnSpPr/>
      </xdr:nvCxnSpPr>
      <xdr:spPr>
        <a:xfrm flipV="1">
          <a:off x="9024938" y="58445877"/>
          <a:ext cx="1333500" cy="1905"/>
        </a:xfrm>
        <a:prstGeom prst="straightConnector1">
          <a:avLst/>
        </a:prstGeom>
        <a:ln w="12700">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14130</xdr:colOff>
      <xdr:row>284</xdr:row>
      <xdr:rowOff>228600</xdr:rowOff>
    </xdr:from>
    <xdr:to>
      <xdr:col>7</xdr:col>
      <xdr:colOff>19050</xdr:colOff>
      <xdr:row>284</xdr:row>
      <xdr:rowOff>239133</xdr:rowOff>
    </xdr:to>
    <xdr:cxnSp macro="">
      <xdr:nvCxnSpPr>
        <xdr:cNvPr id="45" name="Connecteur droit avec flèche 41">
          <a:extLst>
            <a:ext uri="{FF2B5EF4-FFF2-40B4-BE49-F238E27FC236}">
              <a16:creationId xmlns:a16="http://schemas.microsoft.com/office/drawing/2014/main" id="{49F68989-18F9-4540-9A8D-AB346D730EB5}"/>
            </a:ext>
          </a:extLst>
        </xdr:cNvPr>
        <xdr:cNvCxnSpPr/>
      </xdr:nvCxnSpPr>
      <xdr:spPr>
        <a:xfrm flipV="1">
          <a:off x="9024780" y="72732900"/>
          <a:ext cx="1424145" cy="10533"/>
        </a:xfrm>
        <a:prstGeom prst="straightConnector1">
          <a:avLst/>
        </a:prstGeom>
        <a:ln w="12700">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0</xdr:colOff>
      <xdr:row>290</xdr:row>
      <xdr:rowOff>154781</xdr:rowOff>
    </xdr:from>
    <xdr:to>
      <xdr:col>7</xdr:col>
      <xdr:colOff>2857</xdr:colOff>
      <xdr:row>290</xdr:row>
      <xdr:rowOff>161131</xdr:rowOff>
    </xdr:to>
    <xdr:cxnSp macro="">
      <xdr:nvCxnSpPr>
        <xdr:cNvPr id="47" name="Connecteur droit avec flèche 8">
          <a:extLst>
            <a:ext uri="{FF2B5EF4-FFF2-40B4-BE49-F238E27FC236}">
              <a16:creationId xmlns:a16="http://schemas.microsoft.com/office/drawing/2014/main" id="{78FCA0C5-8433-4126-AEE5-2962848E3576}"/>
            </a:ext>
          </a:extLst>
        </xdr:cNvPr>
        <xdr:cNvCxnSpPr/>
      </xdr:nvCxnSpPr>
      <xdr:spPr>
        <a:xfrm flipV="1">
          <a:off x="9024938" y="72675750"/>
          <a:ext cx="1336357" cy="6350"/>
        </a:xfrm>
        <a:prstGeom prst="straightConnector1">
          <a:avLst/>
        </a:prstGeom>
        <a:ln w="12700">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95250</xdr:colOff>
      <xdr:row>291</xdr:row>
      <xdr:rowOff>71437</xdr:rowOff>
    </xdr:from>
    <xdr:to>
      <xdr:col>5</xdr:col>
      <xdr:colOff>140969</xdr:colOff>
      <xdr:row>295</xdr:row>
      <xdr:rowOff>95249</xdr:rowOff>
    </xdr:to>
    <xdr:sp macro="" textlink="">
      <xdr:nvSpPr>
        <xdr:cNvPr id="53" name="Accolade fermante 52">
          <a:extLst>
            <a:ext uri="{FF2B5EF4-FFF2-40B4-BE49-F238E27FC236}">
              <a16:creationId xmlns:a16="http://schemas.microsoft.com/office/drawing/2014/main" id="{2098054E-7C57-43BF-9508-3E28BD870CF8}"/>
            </a:ext>
          </a:extLst>
        </xdr:cNvPr>
        <xdr:cNvSpPr/>
      </xdr:nvSpPr>
      <xdr:spPr>
        <a:xfrm>
          <a:off x="9120188" y="72866250"/>
          <a:ext cx="45719" cy="738187"/>
        </a:xfrm>
        <a:prstGeom prst="rightBrace">
          <a:avLst/>
        </a:prstGeom>
        <a:ln>
          <a:solidFill>
            <a:srgbClr val="C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lang="fr-BE" sz="1100"/>
        </a:p>
      </xdr:txBody>
    </xdr:sp>
    <xdr:clientData/>
  </xdr:twoCellAnchor>
  <xdr:twoCellAnchor>
    <xdr:from>
      <xdr:col>5</xdr:col>
      <xdr:colOff>116682</xdr:colOff>
      <xdr:row>293</xdr:row>
      <xdr:rowOff>178593</xdr:rowOff>
    </xdr:from>
    <xdr:to>
      <xdr:col>7</xdr:col>
      <xdr:colOff>0</xdr:colOff>
      <xdr:row>293</xdr:row>
      <xdr:rowOff>182562</xdr:rowOff>
    </xdr:to>
    <xdr:cxnSp macro="">
      <xdr:nvCxnSpPr>
        <xdr:cNvPr id="56" name="Connecteur droit avec flèche 8">
          <a:extLst>
            <a:ext uri="{FF2B5EF4-FFF2-40B4-BE49-F238E27FC236}">
              <a16:creationId xmlns:a16="http://schemas.microsoft.com/office/drawing/2014/main" id="{582AF283-8416-4DD3-AEC6-0BBD8D053F89}"/>
            </a:ext>
          </a:extLst>
        </xdr:cNvPr>
        <xdr:cNvCxnSpPr/>
      </xdr:nvCxnSpPr>
      <xdr:spPr>
        <a:xfrm flipV="1">
          <a:off x="9141620" y="73330593"/>
          <a:ext cx="1216818" cy="3969"/>
        </a:xfrm>
        <a:prstGeom prst="straightConnector1">
          <a:avLst/>
        </a:prstGeom>
        <a:ln w="12700">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0</xdr:colOff>
      <xdr:row>155</xdr:row>
      <xdr:rowOff>81915</xdr:rowOff>
    </xdr:from>
    <xdr:to>
      <xdr:col>7</xdr:col>
      <xdr:colOff>19050</xdr:colOff>
      <xdr:row>155</xdr:row>
      <xdr:rowOff>85725</xdr:rowOff>
    </xdr:to>
    <xdr:cxnSp macro="">
      <xdr:nvCxnSpPr>
        <xdr:cNvPr id="14" name="Connecteur droit avec flèche 12">
          <a:extLst>
            <a:ext uri="{FF2B5EF4-FFF2-40B4-BE49-F238E27FC236}">
              <a16:creationId xmlns:a16="http://schemas.microsoft.com/office/drawing/2014/main" id="{0B9F3FB9-3394-40D8-BF31-D927EC997BFE}"/>
            </a:ext>
          </a:extLst>
        </xdr:cNvPr>
        <xdr:cNvCxnSpPr/>
      </xdr:nvCxnSpPr>
      <xdr:spPr>
        <a:xfrm flipV="1">
          <a:off x="9039225" y="39448740"/>
          <a:ext cx="1362075" cy="3810"/>
        </a:xfrm>
        <a:prstGeom prst="straightConnector1">
          <a:avLst/>
        </a:prstGeom>
        <a:ln w="12700">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990600</xdr:colOff>
      <xdr:row>157</xdr:row>
      <xdr:rowOff>121920</xdr:rowOff>
    </xdr:from>
    <xdr:to>
      <xdr:col>7</xdr:col>
      <xdr:colOff>20955</xdr:colOff>
      <xdr:row>157</xdr:row>
      <xdr:rowOff>123825</xdr:rowOff>
    </xdr:to>
    <xdr:cxnSp macro="">
      <xdr:nvCxnSpPr>
        <xdr:cNvPr id="16" name="Connecteur droit avec flèche 13">
          <a:extLst>
            <a:ext uri="{FF2B5EF4-FFF2-40B4-BE49-F238E27FC236}">
              <a16:creationId xmlns:a16="http://schemas.microsoft.com/office/drawing/2014/main" id="{742C55E9-9B69-4DAE-9984-D9BEB33182CF}"/>
            </a:ext>
          </a:extLst>
        </xdr:cNvPr>
        <xdr:cNvCxnSpPr/>
      </xdr:nvCxnSpPr>
      <xdr:spPr>
        <a:xfrm flipV="1">
          <a:off x="9020175" y="40050720"/>
          <a:ext cx="1383030" cy="1905"/>
        </a:xfrm>
        <a:prstGeom prst="straightConnector1">
          <a:avLst/>
        </a:prstGeom>
        <a:ln w="12700">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1000125</xdr:colOff>
      <xdr:row>151</xdr:row>
      <xdr:rowOff>102870</xdr:rowOff>
    </xdr:from>
    <xdr:to>
      <xdr:col>7</xdr:col>
      <xdr:colOff>30480</xdr:colOff>
      <xdr:row>151</xdr:row>
      <xdr:rowOff>104775</xdr:rowOff>
    </xdr:to>
    <xdr:cxnSp macro="">
      <xdr:nvCxnSpPr>
        <xdr:cNvPr id="18" name="Connecteur droit avec flèche 13">
          <a:extLst>
            <a:ext uri="{FF2B5EF4-FFF2-40B4-BE49-F238E27FC236}">
              <a16:creationId xmlns:a16="http://schemas.microsoft.com/office/drawing/2014/main" id="{37E11C78-9350-47D6-87C8-943435E78E26}"/>
            </a:ext>
          </a:extLst>
        </xdr:cNvPr>
        <xdr:cNvCxnSpPr/>
      </xdr:nvCxnSpPr>
      <xdr:spPr>
        <a:xfrm flipV="1">
          <a:off x="9029700" y="38431470"/>
          <a:ext cx="1383030" cy="1905"/>
        </a:xfrm>
        <a:prstGeom prst="straightConnector1">
          <a:avLst/>
        </a:prstGeom>
        <a:ln w="12700">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990600</xdr:colOff>
      <xdr:row>150</xdr:row>
      <xdr:rowOff>83820</xdr:rowOff>
    </xdr:from>
    <xdr:to>
      <xdr:col>7</xdr:col>
      <xdr:colOff>20955</xdr:colOff>
      <xdr:row>150</xdr:row>
      <xdr:rowOff>85725</xdr:rowOff>
    </xdr:to>
    <xdr:cxnSp macro="">
      <xdr:nvCxnSpPr>
        <xdr:cNvPr id="19" name="Connecteur droit avec flèche 13">
          <a:extLst>
            <a:ext uri="{FF2B5EF4-FFF2-40B4-BE49-F238E27FC236}">
              <a16:creationId xmlns:a16="http://schemas.microsoft.com/office/drawing/2014/main" id="{34311C6D-483D-4C83-B34B-76072760A187}"/>
            </a:ext>
          </a:extLst>
        </xdr:cNvPr>
        <xdr:cNvCxnSpPr/>
      </xdr:nvCxnSpPr>
      <xdr:spPr>
        <a:xfrm flipV="1">
          <a:off x="9020175" y="38221920"/>
          <a:ext cx="1383030" cy="1905"/>
        </a:xfrm>
        <a:prstGeom prst="straightConnector1">
          <a:avLst/>
        </a:prstGeom>
        <a:ln w="12700">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0</xdr:colOff>
      <xdr:row>163</xdr:row>
      <xdr:rowOff>76200</xdr:rowOff>
    </xdr:from>
    <xdr:to>
      <xdr:col>7</xdr:col>
      <xdr:colOff>11430</xdr:colOff>
      <xdr:row>163</xdr:row>
      <xdr:rowOff>76200</xdr:rowOff>
    </xdr:to>
    <xdr:cxnSp macro="">
      <xdr:nvCxnSpPr>
        <xdr:cNvPr id="31" name="Connecteur droit avec flèche 23">
          <a:extLst>
            <a:ext uri="{FF2B5EF4-FFF2-40B4-BE49-F238E27FC236}">
              <a16:creationId xmlns:a16="http://schemas.microsoft.com/office/drawing/2014/main" id="{AFBC5222-8315-4778-86DE-F63F9B27A3C2}"/>
            </a:ext>
          </a:extLst>
        </xdr:cNvPr>
        <xdr:cNvCxnSpPr/>
      </xdr:nvCxnSpPr>
      <xdr:spPr>
        <a:xfrm>
          <a:off x="9039225" y="41367075"/>
          <a:ext cx="1354455" cy="0"/>
        </a:xfrm>
        <a:prstGeom prst="straightConnector1">
          <a:avLst/>
        </a:prstGeom>
        <a:ln w="12700">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9525</xdr:colOff>
      <xdr:row>166</xdr:row>
      <xdr:rowOff>209550</xdr:rowOff>
    </xdr:from>
    <xdr:to>
      <xdr:col>7</xdr:col>
      <xdr:colOff>24765</xdr:colOff>
      <xdr:row>166</xdr:row>
      <xdr:rowOff>209550</xdr:rowOff>
    </xdr:to>
    <xdr:cxnSp macro="">
      <xdr:nvCxnSpPr>
        <xdr:cNvPr id="35" name="Connecteur droit avec flèche 62">
          <a:extLst>
            <a:ext uri="{FF2B5EF4-FFF2-40B4-BE49-F238E27FC236}">
              <a16:creationId xmlns:a16="http://schemas.microsoft.com/office/drawing/2014/main" id="{AE7C4045-E6E8-40E7-B81D-F82BCA9D54EF}"/>
            </a:ext>
          </a:extLst>
        </xdr:cNvPr>
        <xdr:cNvCxnSpPr/>
      </xdr:nvCxnSpPr>
      <xdr:spPr>
        <a:xfrm>
          <a:off x="9048750" y="42252900"/>
          <a:ext cx="1358265" cy="0"/>
        </a:xfrm>
        <a:prstGeom prst="straightConnector1">
          <a:avLst/>
        </a:prstGeom>
        <a:ln w="12700">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178594</xdr:colOff>
      <xdr:row>267</xdr:row>
      <xdr:rowOff>11906</xdr:rowOff>
    </xdr:from>
    <xdr:to>
      <xdr:col>6</xdr:col>
      <xdr:colOff>523874</xdr:colOff>
      <xdr:row>267</xdr:row>
      <xdr:rowOff>17859</xdr:rowOff>
    </xdr:to>
    <xdr:cxnSp macro="">
      <xdr:nvCxnSpPr>
        <xdr:cNvPr id="11" name="Connecteur droit avec flèche 25">
          <a:extLst>
            <a:ext uri="{FF2B5EF4-FFF2-40B4-BE49-F238E27FC236}">
              <a16:creationId xmlns:a16="http://schemas.microsoft.com/office/drawing/2014/main" id="{BCFF1776-0D88-40D5-ACC4-B2389F5445C6}"/>
            </a:ext>
          </a:extLst>
        </xdr:cNvPr>
        <xdr:cNvCxnSpPr>
          <a:stCxn id="13" idx="1"/>
        </xdr:cNvCxnSpPr>
      </xdr:nvCxnSpPr>
      <xdr:spPr>
        <a:xfrm flipV="1">
          <a:off x="9227344" y="67627500"/>
          <a:ext cx="1131093" cy="5953"/>
        </a:xfrm>
        <a:prstGeom prst="straightConnector1">
          <a:avLst/>
        </a:prstGeom>
        <a:ln w="12700">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123825</xdr:colOff>
      <xdr:row>265</xdr:row>
      <xdr:rowOff>47625</xdr:rowOff>
    </xdr:from>
    <xdr:to>
      <xdr:col>5</xdr:col>
      <xdr:colOff>178594</xdr:colOff>
      <xdr:row>268</xdr:row>
      <xdr:rowOff>166687</xdr:rowOff>
    </xdr:to>
    <xdr:sp macro="" textlink="">
      <xdr:nvSpPr>
        <xdr:cNvPr id="13" name="Accolade fermante 12">
          <a:extLst>
            <a:ext uri="{FF2B5EF4-FFF2-40B4-BE49-F238E27FC236}">
              <a16:creationId xmlns:a16="http://schemas.microsoft.com/office/drawing/2014/main" id="{087205B7-7847-4152-AFF4-E4FD305EEB94}"/>
            </a:ext>
          </a:extLst>
        </xdr:cNvPr>
        <xdr:cNvSpPr/>
      </xdr:nvSpPr>
      <xdr:spPr>
        <a:xfrm>
          <a:off x="9172575" y="67306031"/>
          <a:ext cx="54769" cy="654844"/>
        </a:xfrm>
        <a:prstGeom prst="rightBrace">
          <a:avLst/>
        </a:prstGeom>
        <a:ln>
          <a:solidFill>
            <a:srgbClr val="C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lang="fr-BE" sz="1100"/>
        </a:p>
      </xdr:txBody>
    </xdr:sp>
    <xdr:clientData/>
  </xdr:twoCellAnchor>
  <xdr:twoCellAnchor>
    <xdr:from>
      <xdr:col>5</xdr:col>
      <xdr:colOff>111443</xdr:colOff>
      <xdr:row>210</xdr:row>
      <xdr:rowOff>35718</xdr:rowOff>
    </xdr:from>
    <xdr:to>
      <xdr:col>5</xdr:col>
      <xdr:colOff>178593</xdr:colOff>
      <xdr:row>211</xdr:row>
      <xdr:rowOff>264318</xdr:rowOff>
    </xdr:to>
    <xdr:sp macro="" textlink="">
      <xdr:nvSpPr>
        <xdr:cNvPr id="25" name="Accolade fermante 24">
          <a:extLst>
            <a:ext uri="{FF2B5EF4-FFF2-40B4-BE49-F238E27FC236}">
              <a16:creationId xmlns:a16="http://schemas.microsoft.com/office/drawing/2014/main" id="{39378522-DB79-422B-B1B9-1D7A866D8AC4}"/>
            </a:ext>
          </a:extLst>
        </xdr:cNvPr>
        <xdr:cNvSpPr/>
      </xdr:nvSpPr>
      <xdr:spPr>
        <a:xfrm>
          <a:off x="9160193" y="56173687"/>
          <a:ext cx="67150" cy="514350"/>
        </a:xfrm>
        <a:prstGeom prst="rightBrace">
          <a:avLst/>
        </a:prstGeom>
        <a:ln>
          <a:solidFill>
            <a:srgbClr val="C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lang="fr-BE" sz="1100"/>
        </a:p>
      </xdr:txBody>
    </xdr:sp>
    <xdr:clientData/>
  </xdr:twoCellAnchor>
  <xdr:twoCellAnchor>
    <xdr:from>
      <xdr:col>5</xdr:col>
      <xdr:colOff>138112</xdr:colOff>
      <xdr:row>211</xdr:row>
      <xdr:rowOff>0</xdr:rowOff>
    </xdr:from>
    <xdr:to>
      <xdr:col>6</xdr:col>
      <xdr:colOff>500062</xdr:colOff>
      <xdr:row>211</xdr:row>
      <xdr:rowOff>2381</xdr:rowOff>
    </xdr:to>
    <xdr:cxnSp macro="">
      <xdr:nvCxnSpPr>
        <xdr:cNvPr id="34" name="Connecteur droit avec flèche 25">
          <a:extLst>
            <a:ext uri="{FF2B5EF4-FFF2-40B4-BE49-F238E27FC236}">
              <a16:creationId xmlns:a16="http://schemas.microsoft.com/office/drawing/2014/main" id="{53E28E73-7FC4-40EB-9112-2BBB69B63181}"/>
            </a:ext>
          </a:extLst>
        </xdr:cNvPr>
        <xdr:cNvCxnSpPr/>
      </xdr:nvCxnSpPr>
      <xdr:spPr>
        <a:xfrm flipV="1">
          <a:off x="9186862" y="56423719"/>
          <a:ext cx="1147763" cy="2381"/>
        </a:xfrm>
        <a:prstGeom prst="straightConnector1">
          <a:avLst/>
        </a:prstGeom>
        <a:ln w="12700">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0</xdr:colOff>
      <xdr:row>300</xdr:row>
      <xdr:rowOff>238125</xdr:rowOff>
    </xdr:from>
    <xdr:to>
      <xdr:col>7</xdr:col>
      <xdr:colOff>2857</xdr:colOff>
      <xdr:row>300</xdr:row>
      <xdr:rowOff>244475</xdr:rowOff>
    </xdr:to>
    <xdr:cxnSp macro="">
      <xdr:nvCxnSpPr>
        <xdr:cNvPr id="15" name="Connecteur droit avec flèche 8">
          <a:extLst>
            <a:ext uri="{FF2B5EF4-FFF2-40B4-BE49-F238E27FC236}">
              <a16:creationId xmlns:a16="http://schemas.microsoft.com/office/drawing/2014/main" id="{6901963B-CADE-48EB-869C-8D19902009E3}"/>
            </a:ext>
          </a:extLst>
        </xdr:cNvPr>
        <xdr:cNvCxnSpPr/>
      </xdr:nvCxnSpPr>
      <xdr:spPr>
        <a:xfrm flipV="1">
          <a:off x="9048750" y="75819000"/>
          <a:ext cx="1336357" cy="6350"/>
        </a:xfrm>
        <a:prstGeom prst="straightConnector1">
          <a:avLst/>
        </a:prstGeom>
        <a:ln w="12700">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9525</xdr:colOff>
      <xdr:row>305</xdr:row>
      <xdr:rowOff>92869</xdr:rowOff>
    </xdr:from>
    <xdr:to>
      <xdr:col>7</xdr:col>
      <xdr:colOff>12382</xdr:colOff>
      <xdr:row>305</xdr:row>
      <xdr:rowOff>99219</xdr:rowOff>
    </xdr:to>
    <xdr:cxnSp macro="">
      <xdr:nvCxnSpPr>
        <xdr:cNvPr id="17" name="Connecteur droit avec flèche 8">
          <a:extLst>
            <a:ext uri="{FF2B5EF4-FFF2-40B4-BE49-F238E27FC236}">
              <a16:creationId xmlns:a16="http://schemas.microsoft.com/office/drawing/2014/main" id="{64D14441-6D97-4B95-9F5C-C63524DC1F01}"/>
            </a:ext>
          </a:extLst>
        </xdr:cNvPr>
        <xdr:cNvCxnSpPr/>
      </xdr:nvCxnSpPr>
      <xdr:spPr>
        <a:xfrm flipV="1">
          <a:off x="9058275" y="77578744"/>
          <a:ext cx="1336357" cy="6350"/>
        </a:xfrm>
        <a:prstGeom prst="straightConnector1">
          <a:avLst/>
        </a:prstGeom>
        <a:ln w="12700">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1007269</xdr:colOff>
      <xdr:row>302</xdr:row>
      <xdr:rowOff>209551</xdr:rowOff>
    </xdr:from>
    <xdr:to>
      <xdr:col>6</xdr:col>
      <xdr:colOff>545782</xdr:colOff>
      <xdr:row>302</xdr:row>
      <xdr:rowOff>215901</xdr:rowOff>
    </xdr:to>
    <xdr:cxnSp macro="">
      <xdr:nvCxnSpPr>
        <xdr:cNvPr id="24" name="Connecteur droit avec flèche 8">
          <a:extLst>
            <a:ext uri="{FF2B5EF4-FFF2-40B4-BE49-F238E27FC236}">
              <a16:creationId xmlns:a16="http://schemas.microsoft.com/office/drawing/2014/main" id="{B386F51E-8497-495C-B842-E2C1E6D89868}"/>
            </a:ext>
          </a:extLst>
        </xdr:cNvPr>
        <xdr:cNvCxnSpPr/>
      </xdr:nvCxnSpPr>
      <xdr:spPr>
        <a:xfrm flipV="1">
          <a:off x="9043988" y="76588145"/>
          <a:ext cx="1336357" cy="6350"/>
        </a:xfrm>
        <a:prstGeom prst="straightConnector1">
          <a:avLst/>
        </a:prstGeom>
        <a:ln w="12700">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995363</xdr:colOff>
      <xdr:row>301</xdr:row>
      <xdr:rowOff>138113</xdr:rowOff>
    </xdr:from>
    <xdr:to>
      <xdr:col>6</xdr:col>
      <xdr:colOff>533876</xdr:colOff>
      <xdr:row>301</xdr:row>
      <xdr:rowOff>144463</xdr:rowOff>
    </xdr:to>
    <xdr:cxnSp macro="">
      <xdr:nvCxnSpPr>
        <xdr:cNvPr id="27" name="Connecteur droit avec flèche 8">
          <a:extLst>
            <a:ext uri="{FF2B5EF4-FFF2-40B4-BE49-F238E27FC236}">
              <a16:creationId xmlns:a16="http://schemas.microsoft.com/office/drawing/2014/main" id="{BC56C1AB-2A52-4BA9-A4DE-5F633DBCB23B}"/>
            </a:ext>
          </a:extLst>
        </xdr:cNvPr>
        <xdr:cNvCxnSpPr/>
      </xdr:nvCxnSpPr>
      <xdr:spPr>
        <a:xfrm flipV="1">
          <a:off x="9032082" y="76338113"/>
          <a:ext cx="1336357" cy="6350"/>
        </a:xfrm>
        <a:prstGeom prst="straightConnector1">
          <a:avLst/>
        </a:prstGeom>
        <a:ln w="12700">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11907</xdr:colOff>
      <xdr:row>220</xdr:row>
      <xdr:rowOff>166687</xdr:rowOff>
    </xdr:from>
    <xdr:to>
      <xdr:col>7</xdr:col>
      <xdr:colOff>11907</xdr:colOff>
      <xdr:row>220</xdr:row>
      <xdr:rowOff>168592</xdr:rowOff>
    </xdr:to>
    <xdr:cxnSp macro="">
      <xdr:nvCxnSpPr>
        <xdr:cNvPr id="44" name="Connecteur droit avec flèche 25">
          <a:extLst>
            <a:ext uri="{FF2B5EF4-FFF2-40B4-BE49-F238E27FC236}">
              <a16:creationId xmlns:a16="http://schemas.microsoft.com/office/drawing/2014/main" id="{FD6DD413-B714-488E-B9B4-B8748BCAB907}"/>
            </a:ext>
          </a:extLst>
        </xdr:cNvPr>
        <xdr:cNvCxnSpPr/>
      </xdr:nvCxnSpPr>
      <xdr:spPr>
        <a:xfrm flipV="1">
          <a:off x="9060657" y="60507562"/>
          <a:ext cx="1333500" cy="1905"/>
        </a:xfrm>
        <a:prstGeom prst="straightConnector1">
          <a:avLst/>
        </a:prstGeom>
        <a:ln w="12700">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9525</xdr:colOff>
      <xdr:row>221</xdr:row>
      <xdr:rowOff>128586</xdr:rowOff>
    </xdr:from>
    <xdr:to>
      <xdr:col>7</xdr:col>
      <xdr:colOff>9525</xdr:colOff>
      <xdr:row>221</xdr:row>
      <xdr:rowOff>130491</xdr:rowOff>
    </xdr:to>
    <xdr:cxnSp macro="">
      <xdr:nvCxnSpPr>
        <xdr:cNvPr id="63" name="Connecteur droit avec flèche 25">
          <a:extLst>
            <a:ext uri="{FF2B5EF4-FFF2-40B4-BE49-F238E27FC236}">
              <a16:creationId xmlns:a16="http://schemas.microsoft.com/office/drawing/2014/main" id="{95FB880F-0746-496C-9924-46CED05BAFDE}"/>
            </a:ext>
          </a:extLst>
        </xdr:cNvPr>
        <xdr:cNvCxnSpPr/>
      </xdr:nvCxnSpPr>
      <xdr:spPr>
        <a:xfrm flipV="1">
          <a:off x="9058275" y="60743305"/>
          <a:ext cx="1333500" cy="1905"/>
        </a:xfrm>
        <a:prstGeom prst="straightConnector1">
          <a:avLst/>
        </a:prstGeom>
        <a:ln w="12700">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7144</xdr:colOff>
      <xdr:row>222</xdr:row>
      <xdr:rowOff>78581</xdr:rowOff>
    </xdr:from>
    <xdr:to>
      <xdr:col>7</xdr:col>
      <xdr:colOff>7144</xdr:colOff>
      <xdr:row>222</xdr:row>
      <xdr:rowOff>80486</xdr:rowOff>
    </xdr:to>
    <xdr:cxnSp macro="">
      <xdr:nvCxnSpPr>
        <xdr:cNvPr id="65" name="Connecteur droit avec flèche 25">
          <a:extLst>
            <a:ext uri="{FF2B5EF4-FFF2-40B4-BE49-F238E27FC236}">
              <a16:creationId xmlns:a16="http://schemas.microsoft.com/office/drawing/2014/main" id="{506496CF-C09F-4DEB-9E96-4C247F07D5EC}"/>
            </a:ext>
          </a:extLst>
        </xdr:cNvPr>
        <xdr:cNvCxnSpPr/>
      </xdr:nvCxnSpPr>
      <xdr:spPr>
        <a:xfrm flipV="1">
          <a:off x="9055894" y="60955237"/>
          <a:ext cx="1333500" cy="1905"/>
        </a:xfrm>
        <a:prstGeom prst="straightConnector1">
          <a:avLst/>
        </a:prstGeom>
        <a:ln w="12700">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11906</xdr:colOff>
      <xdr:row>299</xdr:row>
      <xdr:rowOff>238125</xdr:rowOff>
    </xdr:from>
    <xdr:to>
      <xdr:col>7</xdr:col>
      <xdr:colOff>14763</xdr:colOff>
      <xdr:row>299</xdr:row>
      <xdr:rowOff>244475</xdr:rowOff>
    </xdr:to>
    <xdr:cxnSp macro="">
      <xdr:nvCxnSpPr>
        <xdr:cNvPr id="66" name="Connecteur droit avec flèche 8">
          <a:extLst>
            <a:ext uri="{FF2B5EF4-FFF2-40B4-BE49-F238E27FC236}">
              <a16:creationId xmlns:a16="http://schemas.microsoft.com/office/drawing/2014/main" id="{246B882F-78A3-4B5A-93E6-8065EED8EC3C}"/>
            </a:ext>
          </a:extLst>
        </xdr:cNvPr>
        <xdr:cNvCxnSpPr/>
      </xdr:nvCxnSpPr>
      <xdr:spPr>
        <a:xfrm flipV="1">
          <a:off x="9060656" y="77485875"/>
          <a:ext cx="1336357" cy="6350"/>
        </a:xfrm>
        <a:prstGeom prst="straightConnector1">
          <a:avLst/>
        </a:prstGeom>
        <a:ln w="12700">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201931</xdr:colOff>
      <xdr:row>79</xdr:row>
      <xdr:rowOff>161925</xdr:rowOff>
    </xdr:from>
    <xdr:to>
      <xdr:col>5</xdr:col>
      <xdr:colOff>247650</xdr:colOff>
      <xdr:row>98</xdr:row>
      <xdr:rowOff>152400</xdr:rowOff>
    </xdr:to>
    <xdr:sp macro="" textlink="">
      <xdr:nvSpPr>
        <xdr:cNvPr id="68" name="Accolade fermante 67">
          <a:extLst>
            <a:ext uri="{FF2B5EF4-FFF2-40B4-BE49-F238E27FC236}">
              <a16:creationId xmlns:a16="http://schemas.microsoft.com/office/drawing/2014/main" id="{FE3B5177-7F89-9FB1-DBE6-CD54A8C7467F}"/>
            </a:ext>
          </a:extLst>
        </xdr:cNvPr>
        <xdr:cNvSpPr/>
      </xdr:nvSpPr>
      <xdr:spPr>
        <a:xfrm>
          <a:off x="9241156" y="22955250"/>
          <a:ext cx="45719" cy="3600450"/>
        </a:xfrm>
        <a:prstGeom prst="rightBrace">
          <a:avLst/>
        </a:prstGeom>
        <a:noFill/>
        <a:ln w="3175">
          <a:solidFill>
            <a:srgbClr val="FF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lang="fr-BE" sz="1100"/>
        </a:p>
      </xdr:txBody>
    </xdr:sp>
    <xdr:clientData/>
  </xdr:twoCellAnchor>
  <xdr:twoCellAnchor>
    <xdr:from>
      <xdr:col>5</xdr:col>
      <xdr:colOff>247650</xdr:colOff>
      <xdr:row>89</xdr:row>
      <xdr:rowOff>66675</xdr:rowOff>
    </xdr:from>
    <xdr:to>
      <xdr:col>7</xdr:col>
      <xdr:colOff>0</xdr:colOff>
      <xdr:row>89</xdr:row>
      <xdr:rowOff>66675</xdr:rowOff>
    </xdr:to>
    <xdr:cxnSp macro="">
      <xdr:nvCxnSpPr>
        <xdr:cNvPr id="70" name="Connecteur droit avec flèche 47">
          <a:extLst>
            <a:ext uri="{FF2B5EF4-FFF2-40B4-BE49-F238E27FC236}">
              <a16:creationId xmlns:a16="http://schemas.microsoft.com/office/drawing/2014/main" id="{70169C9D-14DC-4841-97F3-C82C559EB27C}"/>
            </a:ext>
          </a:extLst>
        </xdr:cNvPr>
        <xdr:cNvCxnSpPr>
          <a:stCxn id="68" idx="1"/>
        </xdr:cNvCxnSpPr>
      </xdr:nvCxnSpPr>
      <xdr:spPr>
        <a:xfrm>
          <a:off x="9286875" y="24755475"/>
          <a:ext cx="1095375" cy="0"/>
        </a:xfrm>
        <a:prstGeom prst="straightConnector1">
          <a:avLst/>
        </a:prstGeom>
        <a:ln w="12700">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76200</xdr:colOff>
      <xdr:row>309</xdr:row>
      <xdr:rowOff>114300</xdr:rowOff>
    </xdr:from>
    <xdr:to>
      <xdr:col>7</xdr:col>
      <xdr:colOff>9525</xdr:colOff>
      <xdr:row>309</xdr:row>
      <xdr:rowOff>123825</xdr:rowOff>
    </xdr:to>
    <xdr:cxnSp macro="">
      <xdr:nvCxnSpPr>
        <xdr:cNvPr id="69" name="Connecteur droit avec flèche 17">
          <a:extLst>
            <a:ext uri="{FF2B5EF4-FFF2-40B4-BE49-F238E27FC236}">
              <a16:creationId xmlns:a16="http://schemas.microsoft.com/office/drawing/2014/main" id="{6B802F80-CD02-4C49-8303-E03B26C82B51}"/>
            </a:ext>
          </a:extLst>
        </xdr:cNvPr>
        <xdr:cNvCxnSpPr/>
      </xdr:nvCxnSpPr>
      <xdr:spPr>
        <a:xfrm>
          <a:off x="9115425" y="82457925"/>
          <a:ext cx="1352550" cy="9525"/>
        </a:xfrm>
        <a:prstGeom prst="straightConnector1">
          <a:avLst/>
        </a:prstGeom>
        <a:ln w="12700">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85725</xdr:colOff>
      <xdr:row>310</xdr:row>
      <xdr:rowOff>104775</xdr:rowOff>
    </xdr:from>
    <xdr:to>
      <xdr:col>7</xdr:col>
      <xdr:colOff>1905</xdr:colOff>
      <xdr:row>310</xdr:row>
      <xdr:rowOff>110218</xdr:rowOff>
    </xdr:to>
    <xdr:cxnSp macro="">
      <xdr:nvCxnSpPr>
        <xdr:cNvPr id="71" name="Connecteur droit avec flèche 17">
          <a:extLst>
            <a:ext uri="{FF2B5EF4-FFF2-40B4-BE49-F238E27FC236}">
              <a16:creationId xmlns:a16="http://schemas.microsoft.com/office/drawing/2014/main" id="{4B246C4A-0362-43C1-A35C-FCA9125BE1B6}"/>
            </a:ext>
          </a:extLst>
        </xdr:cNvPr>
        <xdr:cNvCxnSpPr/>
      </xdr:nvCxnSpPr>
      <xdr:spPr>
        <a:xfrm>
          <a:off x="9124950" y="82448400"/>
          <a:ext cx="1259205" cy="5443"/>
        </a:xfrm>
        <a:prstGeom prst="straightConnector1">
          <a:avLst/>
        </a:prstGeom>
        <a:ln w="12700">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85725</xdr:colOff>
      <xdr:row>311</xdr:row>
      <xdr:rowOff>228600</xdr:rowOff>
    </xdr:from>
    <xdr:to>
      <xdr:col>6</xdr:col>
      <xdr:colOff>601980</xdr:colOff>
      <xdr:row>311</xdr:row>
      <xdr:rowOff>228600</xdr:rowOff>
    </xdr:to>
    <xdr:cxnSp macro="">
      <xdr:nvCxnSpPr>
        <xdr:cNvPr id="72" name="Connecteur droit avec flèche 17">
          <a:extLst>
            <a:ext uri="{FF2B5EF4-FFF2-40B4-BE49-F238E27FC236}">
              <a16:creationId xmlns:a16="http://schemas.microsoft.com/office/drawing/2014/main" id="{D8F2FB09-AF3E-4E48-8D44-0D4388AD49AA}"/>
            </a:ext>
          </a:extLst>
        </xdr:cNvPr>
        <xdr:cNvCxnSpPr/>
      </xdr:nvCxnSpPr>
      <xdr:spPr>
        <a:xfrm>
          <a:off x="9124950" y="80591025"/>
          <a:ext cx="1306830" cy="0"/>
        </a:xfrm>
        <a:prstGeom prst="straightConnector1">
          <a:avLst/>
        </a:prstGeom>
        <a:ln w="12700">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76200</xdr:colOff>
      <xdr:row>312</xdr:row>
      <xdr:rowOff>238125</xdr:rowOff>
    </xdr:from>
    <xdr:to>
      <xdr:col>6</xdr:col>
      <xdr:colOff>601980</xdr:colOff>
      <xdr:row>312</xdr:row>
      <xdr:rowOff>238125</xdr:rowOff>
    </xdr:to>
    <xdr:cxnSp macro="">
      <xdr:nvCxnSpPr>
        <xdr:cNvPr id="73" name="Connecteur droit avec flèche 17">
          <a:extLst>
            <a:ext uri="{FF2B5EF4-FFF2-40B4-BE49-F238E27FC236}">
              <a16:creationId xmlns:a16="http://schemas.microsoft.com/office/drawing/2014/main" id="{813B9597-FA83-4654-B8CF-4A49EC6B4EBD}"/>
            </a:ext>
          </a:extLst>
        </xdr:cNvPr>
        <xdr:cNvCxnSpPr/>
      </xdr:nvCxnSpPr>
      <xdr:spPr>
        <a:xfrm>
          <a:off x="9115425" y="81181575"/>
          <a:ext cx="1316355" cy="0"/>
        </a:xfrm>
        <a:prstGeom prst="straightConnector1">
          <a:avLst/>
        </a:prstGeom>
        <a:ln w="12700">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95250</xdr:colOff>
      <xdr:row>313</xdr:row>
      <xdr:rowOff>133350</xdr:rowOff>
    </xdr:from>
    <xdr:to>
      <xdr:col>7</xdr:col>
      <xdr:colOff>1905</xdr:colOff>
      <xdr:row>313</xdr:row>
      <xdr:rowOff>133350</xdr:rowOff>
    </xdr:to>
    <xdr:cxnSp macro="">
      <xdr:nvCxnSpPr>
        <xdr:cNvPr id="74" name="Connecteur droit avec flèche 17">
          <a:extLst>
            <a:ext uri="{FF2B5EF4-FFF2-40B4-BE49-F238E27FC236}">
              <a16:creationId xmlns:a16="http://schemas.microsoft.com/office/drawing/2014/main" id="{F27B456D-9618-445E-90FB-4462CB39E834}"/>
            </a:ext>
          </a:extLst>
        </xdr:cNvPr>
        <xdr:cNvCxnSpPr/>
      </xdr:nvCxnSpPr>
      <xdr:spPr>
        <a:xfrm>
          <a:off x="9134475" y="81553050"/>
          <a:ext cx="1325880" cy="0"/>
        </a:xfrm>
        <a:prstGeom prst="straightConnector1">
          <a:avLst/>
        </a:prstGeom>
        <a:ln w="12700">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66675</xdr:colOff>
      <xdr:row>324</xdr:row>
      <xdr:rowOff>85725</xdr:rowOff>
    </xdr:from>
    <xdr:to>
      <xdr:col>6</xdr:col>
      <xdr:colOff>601980</xdr:colOff>
      <xdr:row>324</xdr:row>
      <xdr:rowOff>85725</xdr:rowOff>
    </xdr:to>
    <xdr:cxnSp macro="">
      <xdr:nvCxnSpPr>
        <xdr:cNvPr id="76" name="Connecteur droit avec flèche 17">
          <a:extLst>
            <a:ext uri="{FF2B5EF4-FFF2-40B4-BE49-F238E27FC236}">
              <a16:creationId xmlns:a16="http://schemas.microsoft.com/office/drawing/2014/main" id="{A43562AB-017A-478E-8F0C-0D1AFDF907D1}"/>
            </a:ext>
          </a:extLst>
        </xdr:cNvPr>
        <xdr:cNvCxnSpPr/>
      </xdr:nvCxnSpPr>
      <xdr:spPr>
        <a:xfrm>
          <a:off x="9105900" y="85143975"/>
          <a:ext cx="1325880" cy="0"/>
        </a:xfrm>
        <a:prstGeom prst="straightConnector1">
          <a:avLst/>
        </a:prstGeom>
        <a:ln w="12700">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0</xdr:colOff>
      <xdr:row>316</xdr:row>
      <xdr:rowOff>85725</xdr:rowOff>
    </xdr:from>
    <xdr:to>
      <xdr:col>8</xdr:col>
      <xdr:colOff>38100</xdr:colOff>
      <xdr:row>316</xdr:row>
      <xdr:rowOff>85725</xdr:rowOff>
    </xdr:to>
    <xdr:cxnSp macro="">
      <xdr:nvCxnSpPr>
        <xdr:cNvPr id="77" name="Connecteur droit avec flèche 17">
          <a:extLst>
            <a:ext uri="{FF2B5EF4-FFF2-40B4-BE49-F238E27FC236}">
              <a16:creationId xmlns:a16="http://schemas.microsoft.com/office/drawing/2014/main" id="{39593429-2D1D-4D98-903E-B88AD30CA948}"/>
            </a:ext>
          </a:extLst>
        </xdr:cNvPr>
        <xdr:cNvCxnSpPr/>
      </xdr:nvCxnSpPr>
      <xdr:spPr>
        <a:xfrm>
          <a:off x="10429875" y="81734025"/>
          <a:ext cx="295275" cy="0"/>
        </a:xfrm>
        <a:prstGeom prst="straightConnector1">
          <a:avLst/>
        </a:prstGeom>
        <a:ln w="12700">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619125</xdr:colOff>
      <xdr:row>320</xdr:row>
      <xdr:rowOff>85725</xdr:rowOff>
    </xdr:from>
    <xdr:to>
      <xdr:col>8</xdr:col>
      <xdr:colOff>47625</xdr:colOff>
      <xdr:row>320</xdr:row>
      <xdr:rowOff>85725</xdr:rowOff>
    </xdr:to>
    <xdr:cxnSp macro="">
      <xdr:nvCxnSpPr>
        <xdr:cNvPr id="81" name="Connecteur droit avec flèche 17">
          <a:extLst>
            <a:ext uri="{FF2B5EF4-FFF2-40B4-BE49-F238E27FC236}">
              <a16:creationId xmlns:a16="http://schemas.microsoft.com/office/drawing/2014/main" id="{BB8C7151-AB59-4DCB-A80B-996F5C6E115C}"/>
            </a:ext>
          </a:extLst>
        </xdr:cNvPr>
        <xdr:cNvCxnSpPr/>
      </xdr:nvCxnSpPr>
      <xdr:spPr>
        <a:xfrm>
          <a:off x="10448925" y="82467450"/>
          <a:ext cx="314325" cy="0"/>
        </a:xfrm>
        <a:prstGeom prst="straightConnector1">
          <a:avLst/>
        </a:prstGeom>
        <a:ln w="12700">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19050</xdr:colOff>
      <xdr:row>319</xdr:row>
      <xdr:rowOff>76200</xdr:rowOff>
    </xdr:from>
    <xdr:to>
      <xdr:col>8</xdr:col>
      <xdr:colOff>0</xdr:colOff>
      <xdr:row>320</xdr:row>
      <xdr:rowOff>95250</xdr:rowOff>
    </xdr:to>
    <xdr:cxnSp macro="">
      <xdr:nvCxnSpPr>
        <xdr:cNvPr id="75" name="Connecteur droit avec flèche 17">
          <a:extLst>
            <a:ext uri="{FF2B5EF4-FFF2-40B4-BE49-F238E27FC236}">
              <a16:creationId xmlns:a16="http://schemas.microsoft.com/office/drawing/2014/main" id="{1ED8A266-2EC0-4F7B-84AA-E973EDD069CA}"/>
            </a:ext>
          </a:extLst>
        </xdr:cNvPr>
        <xdr:cNvCxnSpPr/>
      </xdr:nvCxnSpPr>
      <xdr:spPr>
        <a:xfrm flipV="1">
          <a:off x="10448925" y="82267425"/>
          <a:ext cx="238125" cy="200025"/>
        </a:xfrm>
        <a:prstGeom prst="straightConnector1">
          <a:avLst/>
        </a:prstGeom>
        <a:ln w="12700">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19050</xdr:colOff>
      <xdr:row>320</xdr:row>
      <xdr:rowOff>85725</xdr:rowOff>
    </xdr:from>
    <xdr:to>
      <xdr:col>8</xdr:col>
      <xdr:colOff>19050</xdr:colOff>
      <xdr:row>321</xdr:row>
      <xdr:rowOff>104775</xdr:rowOff>
    </xdr:to>
    <xdr:cxnSp macro="">
      <xdr:nvCxnSpPr>
        <xdr:cNvPr id="79" name="Connecteur droit avec flèche 17">
          <a:extLst>
            <a:ext uri="{FF2B5EF4-FFF2-40B4-BE49-F238E27FC236}">
              <a16:creationId xmlns:a16="http://schemas.microsoft.com/office/drawing/2014/main" id="{AD4E8209-F0BB-473C-86AB-959CA606D00D}"/>
            </a:ext>
          </a:extLst>
        </xdr:cNvPr>
        <xdr:cNvCxnSpPr/>
      </xdr:nvCxnSpPr>
      <xdr:spPr>
        <a:xfrm>
          <a:off x="10448925" y="82457925"/>
          <a:ext cx="257175" cy="200025"/>
        </a:xfrm>
        <a:prstGeom prst="straightConnector1">
          <a:avLst/>
        </a:prstGeom>
        <a:ln w="12700">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990600</xdr:colOff>
      <xdr:row>246</xdr:row>
      <xdr:rowOff>85725</xdr:rowOff>
    </xdr:from>
    <xdr:to>
      <xdr:col>7</xdr:col>
      <xdr:colOff>19050</xdr:colOff>
      <xdr:row>246</xdr:row>
      <xdr:rowOff>85725</xdr:rowOff>
    </xdr:to>
    <xdr:cxnSp macro="">
      <xdr:nvCxnSpPr>
        <xdr:cNvPr id="78" name="Connecteur droit avec flèche 77">
          <a:extLst>
            <a:ext uri="{FF2B5EF4-FFF2-40B4-BE49-F238E27FC236}">
              <a16:creationId xmlns:a16="http://schemas.microsoft.com/office/drawing/2014/main" id="{E725DA4C-902C-4118-A672-15200721C20D}"/>
            </a:ext>
          </a:extLst>
        </xdr:cNvPr>
        <xdr:cNvCxnSpPr/>
      </xdr:nvCxnSpPr>
      <xdr:spPr>
        <a:xfrm>
          <a:off x="8991600" y="64550925"/>
          <a:ext cx="1457325" cy="0"/>
        </a:xfrm>
        <a:prstGeom prst="straightConnector1">
          <a:avLst/>
        </a:prstGeom>
        <a:ln w="12700">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990600</xdr:colOff>
      <xdr:row>239</xdr:row>
      <xdr:rowOff>85725</xdr:rowOff>
    </xdr:from>
    <xdr:to>
      <xdr:col>7</xdr:col>
      <xdr:colOff>24288</xdr:colOff>
      <xdr:row>239</xdr:row>
      <xdr:rowOff>85725</xdr:rowOff>
    </xdr:to>
    <xdr:cxnSp macro="">
      <xdr:nvCxnSpPr>
        <xdr:cNvPr id="80" name="Connecteur droit avec flèche 79">
          <a:extLst>
            <a:ext uri="{FF2B5EF4-FFF2-40B4-BE49-F238E27FC236}">
              <a16:creationId xmlns:a16="http://schemas.microsoft.com/office/drawing/2014/main" id="{72A68090-3C48-444A-A9BA-9AE75692830C}"/>
            </a:ext>
          </a:extLst>
        </xdr:cNvPr>
        <xdr:cNvCxnSpPr/>
      </xdr:nvCxnSpPr>
      <xdr:spPr>
        <a:xfrm>
          <a:off x="8991600" y="63474600"/>
          <a:ext cx="1462563" cy="0"/>
        </a:xfrm>
        <a:prstGeom prst="straightConnector1">
          <a:avLst/>
        </a:prstGeom>
        <a:ln w="12700">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990600</xdr:colOff>
      <xdr:row>247</xdr:row>
      <xdr:rowOff>76200</xdr:rowOff>
    </xdr:from>
    <xdr:to>
      <xdr:col>6</xdr:col>
      <xdr:colOff>619125</xdr:colOff>
      <xdr:row>247</xdr:row>
      <xdr:rowOff>85725</xdr:rowOff>
    </xdr:to>
    <xdr:cxnSp macro="">
      <xdr:nvCxnSpPr>
        <xdr:cNvPr id="82" name="Connecteur droit avec flèche 81">
          <a:extLst>
            <a:ext uri="{FF2B5EF4-FFF2-40B4-BE49-F238E27FC236}">
              <a16:creationId xmlns:a16="http://schemas.microsoft.com/office/drawing/2014/main" id="{8E9CDA2F-F134-4FAB-B9CC-29ADD52D01D1}"/>
            </a:ext>
          </a:extLst>
        </xdr:cNvPr>
        <xdr:cNvCxnSpPr/>
      </xdr:nvCxnSpPr>
      <xdr:spPr>
        <a:xfrm>
          <a:off x="8991600" y="64722375"/>
          <a:ext cx="1428750" cy="9525"/>
        </a:xfrm>
        <a:prstGeom prst="straightConnector1">
          <a:avLst/>
        </a:prstGeom>
        <a:ln w="12700">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990600</xdr:colOff>
      <xdr:row>286</xdr:row>
      <xdr:rowOff>76200</xdr:rowOff>
    </xdr:from>
    <xdr:to>
      <xdr:col>6</xdr:col>
      <xdr:colOff>619125</xdr:colOff>
      <xdr:row>286</xdr:row>
      <xdr:rowOff>85725</xdr:rowOff>
    </xdr:to>
    <xdr:cxnSp macro="">
      <xdr:nvCxnSpPr>
        <xdr:cNvPr id="84" name="Connecteur droit avec flèche 83">
          <a:extLst>
            <a:ext uri="{FF2B5EF4-FFF2-40B4-BE49-F238E27FC236}">
              <a16:creationId xmlns:a16="http://schemas.microsoft.com/office/drawing/2014/main" id="{0E3197ED-6646-4C2C-B1C2-9B71CF81211D}"/>
            </a:ext>
          </a:extLst>
        </xdr:cNvPr>
        <xdr:cNvCxnSpPr/>
      </xdr:nvCxnSpPr>
      <xdr:spPr>
        <a:xfrm>
          <a:off x="8991600" y="64722375"/>
          <a:ext cx="1428750" cy="9525"/>
        </a:xfrm>
        <a:prstGeom prst="straightConnector1">
          <a:avLst/>
        </a:prstGeom>
        <a:ln w="12700">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3.xml><?xml version="1.0" encoding="utf-8"?>
<xdr:wsDr xmlns:xdr="http://schemas.openxmlformats.org/drawingml/2006/spreadsheetDrawing" xmlns:a="http://schemas.openxmlformats.org/drawingml/2006/main">
  <xdr:twoCellAnchor>
    <xdr:from>
      <xdr:col>2</xdr:col>
      <xdr:colOff>628403</xdr:colOff>
      <xdr:row>0</xdr:row>
      <xdr:rowOff>508055</xdr:rowOff>
    </xdr:from>
    <xdr:to>
      <xdr:col>4</xdr:col>
      <xdr:colOff>371475</xdr:colOff>
      <xdr:row>2</xdr:row>
      <xdr:rowOff>180396</xdr:rowOff>
    </xdr:to>
    <xdr:sp macro="" textlink="">
      <xdr:nvSpPr>
        <xdr:cNvPr id="4" name="ZoneTexte 1">
          <a:extLst>
            <a:ext uri="{FF2B5EF4-FFF2-40B4-BE49-F238E27FC236}">
              <a16:creationId xmlns:a16="http://schemas.microsoft.com/office/drawing/2014/main" id="{BEF03420-77FF-41B1-AEDB-B4D2226AF07F}"/>
            </a:ext>
          </a:extLst>
        </xdr:cNvPr>
        <xdr:cNvSpPr txBox="1"/>
      </xdr:nvSpPr>
      <xdr:spPr>
        <a:xfrm>
          <a:off x="1276103" y="508055"/>
          <a:ext cx="7439272" cy="891541"/>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ctr"/>
          <a:r>
            <a:rPr lang="fr-BE" sz="1600" b="0">
              <a:solidFill>
                <a:srgbClr val="FF0000"/>
              </a:solidFill>
              <a:effectLst>
                <a:outerShdw blurRad="38100" dist="19050" dir="2700000" algn="tl" rotWithShape="0">
                  <a:schemeClr val="dk1">
                    <a:alpha val="40000"/>
                  </a:schemeClr>
                </a:outerShdw>
              </a:effectLst>
              <a:latin typeface="+mn-lt"/>
              <a:ea typeface="+mn-ea"/>
              <a:cs typeface="+mn-cs"/>
            </a:rPr>
            <a:t>RESULTATS</a:t>
          </a:r>
          <a:r>
            <a:rPr lang="fr-BE" sz="1600" b="0" baseline="0">
              <a:solidFill>
                <a:srgbClr val="FF0000"/>
              </a:solidFill>
              <a:effectLst>
                <a:outerShdw blurRad="38100" dist="19050" dir="2700000" algn="tl" rotWithShape="0">
                  <a:schemeClr val="dk1">
                    <a:alpha val="40000"/>
                  </a:schemeClr>
                </a:outerShdw>
              </a:effectLst>
              <a:latin typeface="+mn-lt"/>
              <a:ea typeface="+mn-ea"/>
              <a:cs typeface="+mn-cs"/>
            </a:rPr>
            <a:t> (SYNTHESE ET DETAIL) FOURNIS A TITRE INDICATIF</a:t>
          </a:r>
          <a:endParaRPr lang="fr-BE" sz="1600">
            <a:solidFill>
              <a:srgbClr val="FF0000"/>
            </a:solidFill>
            <a:effectLst/>
          </a:endParaRPr>
        </a:p>
        <a:p>
          <a:pPr algn="ctr"/>
          <a:r>
            <a:rPr lang="fr-BE" sz="1600" b="0" baseline="0">
              <a:solidFill>
                <a:schemeClr val="dk1"/>
              </a:solidFill>
              <a:effectLst>
                <a:outerShdw blurRad="38100" dist="19050" dir="2700000" algn="tl" rotWithShape="0">
                  <a:schemeClr val="dk1">
                    <a:alpha val="40000"/>
                  </a:schemeClr>
                </a:outerShdw>
              </a:effectLst>
              <a:latin typeface="+mn-lt"/>
              <a:ea typeface="+mn-ea"/>
              <a:cs typeface="+mn-cs"/>
            </a:rPr>
            <a:t>ILS SONT OBTENUS EN FONCTION DES DONNEES INTRODUITES PAR VOS SOINS</a:t>
          </a:r>
        </a:p>
      </xdr:txBody>
    </xdr:sp>
    <xdr:clientData/>
  </xdr:twoCellAnchor>
  <xdr:twoCellAnchor>
    <xdr:from>
      <xdr:col>3</xdr:col>
      <xdr:colOff>2512218</xdr:colOff>
      <xdr:row>192</xdr:row>
      <xdr:rowOff>47625</xdr:rowOff>
    </xdr:from>
    <xdr:to>
      <xdr:col>3</xdr:col>
      <xdr:colOff>3583781</xdr:colOff>
      <xdr:row>192</xdr:row>
      <xdr:rowOff>202406</xdr:rowOff>
    </xdr:to>
    <xdr:cxnSp macro="">
      <xdr:nvCxnSpPr>
        <xdr:cNvPr id="3" name="Connecteur droit avec flèche 2">
          <a:extLst>
            <a:ext uri="{FF2B5EF4-FFF2-40B4-BE49-F238E27FC236}">
              <a16:creationId xmlns:a16="http://schemas.microsoft.com/office/drawing/2014/main" id="{203B8602-EBC4-8612-5270-6E1D4718733E}"/>
            </a:ext>
          </a:extLst>
        </xdr:cNvPr>
        <xdr:cNvCxnSpPr/>
      </xdr:nvCxnSpPr>
      <xdr:spPr>
        <a:xfrm flipV="1">
          <a:off x="7727156" y="40707469"/>
          <a:ext cx="1071563" cy="154781"/>
        </a:xfrm>
        <a:prstGeom prst="straightConnector1">
          <a:avLst/>
        </a:prstGeom>
        <a:ln>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4.xml><?xml version="1.0" encoding="utf-8"?>
<xdr:wsDr xmlns:xdr="http://schemas.openxmlformats.org/drawingml/2006/spreadsheetDrawing" xmlns:a="http://schemas.openxmlformats.org/drawingml/2006/main">
  <xdr:twoCellAnchor>
    <xdr:from>
      <xdr:col>4</xdr:col>
      <xdr:colOff>85725</xdr:colOff>
      <xdr:row>4</xdr:row>
      <xdr:rowOff>228600</xdr:rowOff>
    </xdr:from>
    <xdr:to>
      <xdr:col>5</xdr:col>
      <xdr:colOff>678180</xdr:colOff>
      <xdr:row>4</xdr:row>
      <xdr:rowOff>234043</xdr:rowOff>
    </xdr:to>
    <xdr:cxnSp macro="">
      <xdr:nvCxnSpPr>
        <xdr:cNvPr id="2" name="Connecteur droit avec flèche 17">
          <a:extLst>
            <a:ext uri="{FF2B5EF4-FFF2-40B4-BE49-F238E27FC236}">
              <a16:creationId xmlns:a16="http://schemas.microsoft.com/office/drawing/2014/main" id="{C5BEC3AB-186C-4D73-AC0D-009D107539A0}"/>
            </a:ext>
          </a:extLst>
        </xdr:cNvPr>
        <xdr:cNvCxnSpPr/>
      </xdr:nvCxnSpPr>
      <xdr:spPr>
        <a:xfrm>
          <a:off x="7248525" y="971550"/>
          <a:ext cx="1354455" cy="5443"/>
        </a:xfrm>
        <a:prstGeom prst="straightConnector1">
          <a:avLst/>
        </a:prstGeom>
        <a:ln w="12700">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85725</xdr:colOff>
      <xdr:row>5</xdr:row>
      <xdr:rowOff>171450</xdr:rowOff>
    </xdr:from>
    <xdr:to>
      <xdr:col>5</xdr:col>
      <xdr:colOff>678180</xdr:colOff>
      <xdr:row>5</xdr:row>
      <xdr:rowOff>176893</xdr:rowOff>
    </xdr:to>
    <xdr:cxnSp macro="">
      <xdr:nvCxnSpPr>
        <xdr:cNvPr id="3" name="Connecteur droit avec flèche 17">
          <a:extLst>
            <a:ext uri="{FF2B5EF4-FFF2-40B4-BE49-F238E27FC236}">
              <a16:creationId xmlns:a16="http://schemas.microsoft.com/office/drawing/2014/main" id="{9C7D6022-4419-48B8-BDC4-51B1FEA91371}"/>
            </a:ext>
          </a:extLst>
        </xdr:cNvPr>
        <xdr:cNvCxnSpPr/>
      </xdr:nvCxnSpPr>
      <xdr:spPr>
        <a:xfrm>
          <a:off x="7248525" y="1333500"/>
          <a:ext cx="1354455" cy="5443"/>
        </a:xfrm>
        <a:prstGeom prst="straightConnector1">
          <a:avLst/>
        </a:prstGeom>
        <a:ln w="12700">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114300</xdr:colOff>
      <xdr:row>6</xdr:row>
      <xdr:rowOff>219075</xdr:rowOff>
    </xdr:from>
    <xdr:to>
      <xdr:col>5</xdr:col>
      <xdr:colOff>706755</xdr:colOff>
      <xdr:row>6</xdr:row>
      <xdr:rowOff>224518</xdr:rowOff>
    </xdr:to>
    <xdr:cxnSp macro="">
      <xdr:nvCxnSpPr>
        <xdr:cNvPr id="4" name="Connecteur droit avec flèche 17">
          <a:extLst>
            <a:ext uri="{FF2B5EF4-FFF2-40B4-BE49-F238E27FC236}">
              <a16:creationId xmlns:a16="http://schemas.microsoft.com/office/drawing/2014/main" id="{D1CCA1A5-39A2-484E-A4A6-B5EC3F874C83}"/>
            </a:ext>
          </a:extLst>
        </xdr:cNvPr>
        <xdr:cNvCxnSpPr/>
      </xdr:nvCxnSpPr>
      <xdr:spPr>
        <a:xfrm>
          <a:off x="7277100" y="1704975"/>
          <a:ext cx="1354455" cy="5443"/>
        </a:xfrm>
        <a:prstGeom prst="straightConnector1">
          <a:avLst/>
        </a:prstGeom>
        <a:ln w="12700">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xdr:row>
      <xdr:rowOff>209550</xdr:rowOff>
    </xdr:from>
    <xdr:to>
      <xdr:col>5</xdr:col>
      <xdr:colOff>697230</xdr:colOff>
      <xdr:row>7</xdr:row>
      <xdr:rowOff>214993</xdr:rowOff>
    </xdr:to>
    <xdr:cxnSp macro="">
      <xdr:nvCxnSpPr>
        <xdr:cNvPr id="5" name="Connecteur droit avec flèche 17">
          <a:extLst>
            <a:ext uri="{FF2B5EF4-FFF2-40B4-BE49-F238E27FC236}">
              <a16:creationId xmlns:a16="http://schemas.microsoft.com/office/drawing/2014/main" id="{CB124A08-F54D-4242-8213-21C7BB8FEB38}"/>
            </a:ext>
          </a:extLst>
        </xdr:cNvPr>
        <xdr:cNvCxnSpPr/>
      </xdr:nvCxnSpPr>
      <xdr:spPr>
        <a:xfrm>
          <a:off x="7658100" y="2219325"/>
          <a:ext cx="1354455" cy="5443"/>
        </a:xfrm>
        <a:prstGeom prst="straightConnector1">
          <a:avLst/>
        </a:prstGeom>
        <a:ln w="12700">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95250</xdr:colOff>
      <xdr:row>8</xdr:row>
      <xdr:rowOff>209550</xdr:rowOff>
    </xdr:from>
    <xdr:to>
      <xdr:col>5</xdr:col>
      <xdr:colOff>687705</xdr:colOff>
      <xdr:row>8</xdr:row>
      <xdr:rowOff>214993</xdr:rowOff>
    </xdr:to>
    <xdr:cxnSp macro="">
      <xdr:nvCxnSpPr>
        <xdr:cNvPr id="6" name="Connecteur droit avec flèche 17">
          <a:extLst>
            <a:ext uri="{FF2B5EF4-FFF2-40B4-BE49-F238E27FC236}">
              <a16:creationId xmlns:a16="http://schemas.microsoft.com/office/drawing/2014/main" id="{D99B7289-5F2E-43CF-88FE-B1C9467E2CFA}"/>
            </a:ext>
          </a:extLst>
        </xdr:cNvPr>
        <xdr:cNvCxnSpPr/>
      </xdr:nvCxnSpPr>
      <xdr:spPr>
        <a:xfrm>
          <a:off x="8677275" y="3248025"/>
          <a:ext cx="1849755" cy="5443"/>
        </a:xfrm>
        <a:prstGeom prst="straightConnector1">
          <a:avLst/>
        </a:prstGeom>
        <a:ln w="12700">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5.xml><?xml version="1.0" encoding="utf-8"?>
<xdr:wsDr xmlns:xdr="http://schemas.openxmlformats.org/drawingml/2006/spreadsheetDrawing" xmlns:a="http://schemas.openxmlformats.org/drawingml/2006/main">
  <xdr:twoCellAnchor>
    <xdr:from>
      <xdr:col>2</xdr:col>
      <xdr:colOff>0</xdr:colOff>
      <xdr:row>0</xdr:row>
      <xdr:rowOff>129540</xdr:rowOff>
    </xdr:from>
    <xdr:to>
      <xdr:col>6</xdr:col>
      <xdr:colOff>662940</xdr:colOff>
      <xdr:row>5</xdr:row>
      <xdr:rowOff>571500</xdr:rowOff>
    </xdr:to>
    <xdr:cxnSp macro="">
      <xdr:nvCxnSpPr>
        <xdr:cNvPr id="3" name="Connecteur droit avec flèche 2">
          <a:extLst>
            <a:ext uri="{FF2B5EF4-FFF2-40B4-BE49-F238E27FC236}">
              <a16:creationId xmlns:a16="http://schemas.microsoft.com/office/drawing/2014/main" id="{1CBBA617-E173-4E25-938A-AAB83CB41BE0}"/>
            </a:ext>
          </a:extLst>
        </xdr:cNvPr>
        <xdr:cNvCxnSpPr/>
      </xdr:nvCxnSpPr>
      <xdr:spPr>
        <a:xfrm flipV="1">
          <a:off x="3200400" y="129540"/>
          <a:ext cx="4110990" cy="1365885"/>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6.xml><?xml version="1.0" encoding="utf-8"?>
<xdr:wsDr xmlns:xdr="http://schemas.openxmlformats.org/drawingml/2006/spreadsheetDrawing" xmlns:a="http://schemas.openxmlformats.org/drawingml/2006/main">
  <xdr:twoCellAnchor>
    <xdr:from>
      <xdr:col>7</xdr:col>
      <xdr:colOff>459440</xdr:colOff>
      <xdr:row>0</xdr:row>
      <xdr:rowOff>0</xdr:rowOff>
    </xdr:from>
    <xdr:to>
      <xdr:col>8</xdr:col>
      <xdr:colOff>11204</xdr:colOff>
      <xdr:row>0</xdr:row>
      <xdr:rowOff>11207</xdr:rowOff>
    </xdr:to>
    <xdr:sp macro="" textlink="">
      <xdr:nvSpPr>
        <xdr:cNvPr id="2" name="Rectangle 1">
          <a:extLst>
            <a:ext uri="{FF2B5EF4-FFF2-40B4-BE49-F238E27FC236}">
              <a16:creationId xmlns:a16="http://schemas.microsoft.com/office/drawing/2014/main" id="{9263E568-1791-4EA2-8B9B-61D1440A2BBE}"/>
            </a:ext>
          </a:extLst>
        </xdr:cNvPr>
        <xdr:cNvSpPr/>
      </xdr:nvSpPr>
      <xdr:spPr>
        <a:xfrm>
          <a:off x="14585015" y="704851"/>
          <a:ext cx="313764" cy="11206"/>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fr-BE" sz="900">
              <a:solidFill>
                <a:schemeClr val="tx1"/>
              </a:solidFill>
            </a:rPr>
            <a:t>Ch.G-R.R.</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20483</xdr:colOff>
      <xdr:row>19</xdr:row>
      <xdr:rowOff>171450</xdr:rowOff>
    </xdr:from>
    <xdr:to>
      <xdr:col>5</xdr:col>
      <xdr:colOff>1905</xdr:colOff>
      <xdr:row>19</xdr:row>
      <xdr:rowOff>174113</xdr:rowOff>
    </xdr:to>
    <xdr:cxnSp macro="">
      <xdr:nvCxnSpPr>
        <xdr:cNvPr id="2" name="Connecteur droit avec flèche 25">
          <a:extLst>
            <a:ext uri="{FF2B5EF4-FFF2-40B4-BE49-F238E27FC236}">
              <a16:creationId xmlns:a16="http://schemas.microsoft.com/office/drawing/2014/main" id="{C771A8FC-BF05-4D71-B9C0-C57004226F4A}"/>
            </a:ext>
          </a:extLst>
        </xdr:cNvPr>
        <xdr:cNvCxnSpPr/>
      </xdr:nvCxnSpPr>
      <xdr:spPr>
        <a:xfrm flipV="1">
          <a:off x="7659533" y="6543675"/>
          <a:ext cx="1162522" cy="2663"/>
        </a:xfrm>
        <a:prstGeom prst="straightConnector1">
          <a:avLst/>
        </a:prstGeom>
        <a:ln w="12700">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10241</xdr:colOff>
      <xdr:row>12</xdr:row>
      <xdr:rowOff>163871</xdr:rowOff>
    </xdr:from>
    <xdr:to>
      <xdr:col>5</xdr:col>
      <xdr:colOff>19050</xdr:colOff>
      <xdr:row>12</xdr:row>
      <xdr:rowOff>169545</xdr:rowOff>
    </xdr:to>
    <xdr:cxnSp macro="">
      <xdr:nvCxnSpPr>
        <xdr:cNvPr id="3" name="Connecteur droit avec flèche 25">
          <a:extLst>
            <a:ext uri="{FF2B5EF4-FFF2-40B4-BE49-F238E27FC236}">
              <a16:creationId xmlns:a16="http://schemas.microsoft.com/office/drawing/2014/main" id="{45237CF1-146D-491F-998D-C61950A58E56}"/>
            </a:ext>
          </a:extLst>
        </xdr:cNvPr>
        <xdr:cNvCxnSpPr/>
      </xdr:nvCxnSpPr>
      <xdr:spPr>
        <a:xfrm>
          <a:off x="7649291" y="2507021"/>
          <a:ext cx="1189909" cy="5674"/>
        </a:xfrm>
        <a:prstGeom prst="straightConnector1">
          <a:avLst/>
        </a:prstGeom>
        <a:ln w="12700">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0</xdr:colOff>
      <xdr:row>24</xdr:row>
      <xdr:rowOff>396240</xdr:rowOff>
    </xdr:from>
    <xdr:to>
      <xdr:col>5</xdr:col>
      <xdr:colOff>15240</xdr:colOff>
      <xdr:row>24</xdr:row>
      <xdr:rowOff>399435</xdr:rowOff>
    </xdr:to>
    <xdr:cxnSp macro="">
      <xdr:nvCxnSpPr>
        <xdr:cNvPr id="4" name="Connecteur droit avec flèche 25">
          <a:extLst>
            <a:ext uri="{FF2B5EF4-FFF2-40B4-BE49-F238E27FC236}">
              <a16:creationId xmlns:a16="http://schemas.microsoft.com/office/drawing/2014/main" id="{7CBDA8CB-9892-4BE6-9F42-E0D3C1DCB4AD}"/>
            </a:ext>
          </a:extLst>
        </xdr:cNvPr>
        <xdr:cNvCxnSpPr/>
      </xdr:nvCxnSpPr>
      <xdr:spPr>
        <a:xfrm flipV="1">
          <a:off x="7639050" y="14969490"/>
          <a:ext cx="1196340" cy="3195"/>
        </a:xfrm>
        <a:prstGeom prst="straightConnector1">
          <a:avLst/>
        </a:prstGeom>
        <a:ln w="12700">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0</xdr:colOff>
      <xdr:row>26</xdr:row>
      <xdr:rowOff>331470</xdr:rowOff>
    </xdr:from>
    <xdr:to>
      <xdr:col>5</xdr:col>
      <xdr:colOff>0</xdr:colOff>
      <xdr:row>26</xdr:row>
      <xdr:rowOff>333375</xdr:rowOff>
    </xdr:to>
    <xdr:cxnSp macro="">
      <xdr:nvCxnSpPr>
        <xdr:cNvPr id="5" name="Connecteur droit avec flèche 25">
          <a:extLst>
            <a:ext uri="{FF2B5EF4-FFF2-40B4-BE49-F238E27FC236}">
              <a16:creationId xmlns:a16="http://schemas.microsoft.com/office/drawing/2014/main" id="{D7862D7D-335B-43C8-AD24-727E1616CDD4}"/>
            </a:ext>
          </a:extLst>
        </xdr:cNvPr>
        <xdr:cNvCxnSpPr/>
      </xdr:nvCxnSpPr>
      <xdr:spPr>
        <a:xfrm flipV="1">
          <a:off x="7639050" y="15857220"/>
          <a:ext cx="1181100" cy="1905"/>
        </a:xfrm>
        <a:prstGeom prst="straightConnector1">
          <a:avLst/>
        </a:prstGeom>
        <a:ln w="12700">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17519</xdr:colOff>
      <xdr:row>22</xdr:row>
      <xdr:rowOff>1269510</xdr:rowOff>
    </xdr:from>
    <xdr:to>
      <xdr:col>5</xdr:col>
      <xdr:colOff>27044</xdr:colOff>
      <xdr:row>22</xdr:row>
      <xdr:rowOff>1269510</xdr:rowOff>
    </xdr:to>
    <xdr:cxnSp macro="">
      <xdr:nvCxnSpPr>
        <xdr:cNvPr id="6" name="Connecteur droit avec flèche 25">
          <a:extLst>
            <a:ext uri="{FF2B5EF4-FFF2-40B4-BE49-F238E27FC236}">
              <a16:creationId xmlns:a16="http://schemas.microsoft.com/office/drawing/2014/main" id="{2D9995F0-7DF4-4446-AD26-E8A8DE69461C}"/>
            </a:ext>
          </a:extLst>
        </xdr:cNvPr>
        <xdr:cNvCxnSpPr/>
      </xdr:nvCxnSpPr>
      <xdr:spPr>
        <a:xfrm>
          <a:off x="7656569" y="10737360"/>
          <a:ext cx="1190625" cy="0"/>
        </a:xfrm>
        <a:prstGeom prst="straightConnector1">
          <a:avLst/>
        </a:prstGeom>
        <a:ln w="12700">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10</xdr:col>
      <xdr:colOff>184765</xdr:colOff>
      <xdr:row>20</xdr:row>
      <xdr:rowOff>129540</xdr:rowOff>
    </xdr:from>
    <xdr:to>
      <xdr:col>17</xdr:col>
      <xdr:colOff>140192</xdr:colOff>
      <xdr:row>28</xdr:row>
      <xdr:rowOff>142937</xdr:rowOff>
    </xdr:to>
    <xdr:pic>
      <xdr:nvPicPr>
        <xdr:cNvPr id="7" name="Image 6">
          <a:extLst>
            <a:ext uri="{FF2B5EF4-FFF2-40B4-BE49-F238E27FC236}">
              <a16:creationId xmlns:a16="http://schemas.microsoft.com/office/drawing/2014/main" id="{E3AD163E-E195-4419-810F-B28F9A37F46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424765" y="6844665"/>
          <a:ext cx="6956302" cy="1537397"/>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3</xdr:col>
      <xdr:colOff>10241</xdr:colOff>
      <xdr:row>14</xdr:row>
      <xdr:rowOff>359616</xdr:rowOff>
    </xdr:from>
    <xdr:to>
      <xdr:col>5</xdr:col>
      <xdr:colOff>3380</xdr:colOff>
      <xdr:row>14</xdr:row>
      <xdr:rowOff>368710</xdr:rowOff>
    </xdr:to>
    <xdr:cxnSp macro="">
      <xdr:nvCxnSpPr>
        <xdr:cNvPr id="8" name="Connecteur droit avec flèche 25">
          <a:extLst>
            <a:ext uri="{FF2B5EF4-FFF2-40B4-BE49-F238E27FC236}">
              <a16:creationId xmlns:a16="http://schemas.microsoft.com/office/drawing/2014/main" id="{C982A82A-89B5-4D46-92FC-0979B1A26A58}"/>
            </a:ext>
          </a:extLst>
        </xdr:cNvPr>
        <xdr:cNvCxnSpPr/>
      </xdr:nvCxnSpPr>
      <xdr:spPr>
        <a:xfrm flipV="1">
          <a:off x="7649291" y="3283791"/>
          <a:ext cx="1174239" cy="9094"/>
        </a:xfrm>
        <a:prstGeom prst="straightConnector1">
          <a:avLst/>
        </a:prstGeom>
        <a:ln w="12700">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20483</xdr:colOff>
      <xdr:row>15</xdr:row>
      <xdr:rowOff>247670</xdr:rowOff>
    </xdr:from>
    <xdr:to>
      <xdr:col>4</xdr:col>
      <xdr:colOff>592127</xdr:colOff>
      <xdr:row>15</xdr:row>
      <xdr:rowOff>256048</xdr:rowOff>
    </xdr:to>
    <xdr:cxnSp macro="">
      <xdr:nvCxnSpPr>
        <xdr:cNvPr id="9" name="Connecteur droit avec flèche 25">
          <a:extLst>
            <a:ext uri="{FF2B5EF4-FFF2-40B4-BE49-F238E27FC236}">
              <a16:creationId xmlns:a16="http://schemas.microsoft.com/office/drawing/2014/main" id="{F38AB4EB-8330-45BA-B35C-14D627756284}"/>
            </a:ext>
          </a:extLst>
        </xdr:cNvPr>
        <xdr:cNvCxnSpPr/>
      </xdr:nvCxnSpPr>
      <xdr:spPr>
        <a:xfrm flipV="1">
          <a:off x="7659533" y="3857645"/>
          <a:ext cx="1162194" cy="8378"/>
        </a:xfrm>
        <a:prstGeom prst="straightConnector1">
          <a:avLst/>
        </a:prstGeom>
        <a:ln w="12700">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4</xdr:col>
      <xdr:colOff>515905</xdr:colOff>
      <xdr:row>35</xdr:row>
      <xdr:rowOff>40967</xdr:rowOff>
    </xdr:from>
    <xdr:to>
      <xdr:col>10</xdr:col>
      <xdr:colOff>468077</xdr:colOff>
      <xdr:row>51</xdr:row>
      <xdr:rowOff>63198</xdr:rowOff>
    </xdr:to>
    <xdr:pic>
      <xdr:nvPicPr>
        <xdr:cNvPr id="10" name="Image 9">
          <a:extLst>
            <a:ext uri="{FF2B5EF4-FFF2-40B4-BE49-F238E27FC236}">
              <a16:creationId xmlns:a16="http://schemas.microsoft.com/office/drawing/2014/main" id="{2BAD73DC-5543-43E4-A4DD-0D87B0D3BFF5}"/>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8755030" y="18548042"/>
          <a:ext cx="6867322" cy="307023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3</xdr:col>
      <xdr:colOff>22389</xdr:colOff>
      <xdr:row>17</xdr:row>
      <xdr:rowOff>554970</xdr:rowOff>
    </xdr:from>
    <xdr:to>
      <xdr:col>5</xdr:col>
      <xdr:colOff>27346</xdr:colOff>
      <xdr:row>17</xdr:row>
      <xdr:rowOff>554970</xdr:rowOff>
    </xdr:to>
    <xdr:cxnSp macro="">
      <xdr:nvCxnSpPr>
        <xdr:cNvPr id="11" name="Connecteur droit avec flèche 25">
          <a:extLst>
            <a:ext uri="{FF2B5EF4-FFF2-40B4-BE49-F238E27FC236}">
              <a16:creationId xmlns:a16="http://schemas.microsoft.com/office/drawing/2014/main" id="{F798273A-B823-4030-B182-F2AAE0079B09}"/>
            </a:ext>
          </a:extLst>
        </xdr:cNvPr>
        <xdr:cNvCxnSpPr/>
      </xdr:nvCxnSpPr>
      <xdr:spPr>
        <a:xfrm>
          <a:off x="7661439" y="5679420"/>
          <a:ext cx="1186057" cy="0"/>
        </a:xfrm>
        <a:prstGeom prst="straightConnector1">
          <a:avLst/>
        </a:prstGeom>
        <a:ln w="12700">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0</xdr:colOff>
      <xdr:row>32</xdr:row>
      <xdr:rowOff>389194</xdr:rowOff>
    </xdr:from>
    <xdr:to>
      <xdr:col>5</xdr:col>
      <xdr:colOff>0</xdr:colOff>
      <xdr:row>32</xdr:row>
      <xdr:rowOff>391099</xdr:rowOff>
    </xdr:to>
    <xdr:cxnSp macro="">
      <xdr:nvCxnSpPr>
        <xdr:cNvPr id="12" name="Connecteur droit avec flèche 25">
          <a:extLst>
            <a:ext uri="{FF2B5EF4-FFF2-40B4-BE49-F238E27FC236}">
              <a16:creationId xmlns:a16="http://schemas.microsoft.com/office/drawing/2014/main" id="{0DB1DAEC-DDF0-4F7B-B8F7-518E19F1AF6D}"/>
            </a:ext>
          </a:extLst>
        </xdr:cNvPr>
        <xdr:cNvCxnSpPr/>
      </xdr:nvCxnSpPr>
      <xdr:spPr>
        <a:xfrm flipV="1">
          <a:off x="7639050" y="17600869"/>
          <a:ext cx="1181100" cy="1905"/>
        </a:xfrm>
        <a:prstGeom prst="straightConnector1">
          <a:avLst/>
        </a:prstGeom>
        <a:ln w="12700">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1024194</xdr:colOff>
      <xdr:row>16</xdr:row>
      <xdr:rowOff>474939</xdr:rowOff>
    </xdr:from>
    <xdr:to>
      <xdr:col>5</xdr:col>
      <xdr:colOff>430</xdr:colOff>
      <xdr:row>16</xdr:row>
      <xdr:rowOff>474939</xdr:rowOff>
    </xdr:to>
    <xdr:cxnSp macro="">
      <xdr:nvCxnSpPr>
        <xdr:cNvPr id="13" name="Connecteur droit avec flèche 25">
          <a:extLst>
            <a:ext uri="{FF2B5EF4-FFF2-40B4-BE49-F238E27FC236}">
              <a16:creationId xmlns:a16="http://schemas.microsoft.com/office/drawing/2014/main" id="{D4F77BF7-CFD7-4CEF-936C-A3B9F56F1B86}"/>
            </a:ext>
          </a:extLst>
        </xdr:cNvPr>
        <xdr:cNvCxnSpPr/>
      </xdr:nvCxnSpPr>
      <xdr:spPr>
        <a:xfrm>
          <a:off x="7634544" y="4637364"/>
          <a:ext cx="1186036" cy="0"/>
        </a:xfrm>
        <a:prstGeom prst="straightConnector1">
          <a:avLst/>
        </a:prstGeom>
        <a:ln w="12700">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wsDr>
</file>

<file path=xl/persons/person.xml><?xml version="1.0" encoding="utf-8"?>
<personList xmlns="http://schemas.microsoft.com/office/spreadsheetml/2018/threadedcomments" xmlns:x="http://schemas.openxmlformats.org/spreadsheetml/2006/main">
  <person displayName="PEREZ RUIZ Alvaro" id="{EB8680D9-6DF2-4025-A79D-367C247DA7E6}" userId="alvaro.perezruiz@spw.wallonie.be" providerId="PeoplePicker"/>
  <person displayName="FAUX Philippe-François" id="{3E024766-8DB4-4FEA-ACE4-14B461D29643}" userId="philippefrancois.faux@spw.wallonie.be" providerId="PeoplePicker"/>
  <person displayName="PEREZ RUIZ Alvaro" id="{B228C0D8-4C88-46E5-B7FB-DCE44CC9591C}" userId="S::alvaro.perezruiz@spw.wallonie.be::2291128f-e16b-436a-910f-6deddd8090fd" providerId="AD"/>
  <person displayName="VANDENDAEL Laurent" id="{5FE567FA-6030-4BC9-9660-8EF945ED67DC}" userId="S::laurent.vandendael@spw.wallonie.be::d5c5956f-e466-4a0e-bc89-c67715c1ae76" providerId="AD"/>
  <person displayName="FAUX Philippe-François" id="{E6F97253-58E0-43B1-8D48-3915DFA17EFE}" userId="S::philippefrancois.faux@spw.wallonie.be::5fbd24c2-a538-4b92-a581-223b6518d007" providerId="AD"/>
</personList>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readedComments/threadedComment1.xml><?xml version="1.0" encoding="utf-8"?>
<ThreadedComments xmlns="http://schemas.microsoft.com/office/spreadsheetml/2018/threadedcomments" xmlns:x="http://schemas.openxmlformats.org/spreadsheetml/2006/main">
  <threadedComment ref="D77" dT="2023-02-20T10:36:30.71" personId="{5FE567FA-6030-4BC9-9660-8EF945ED67DC}" id="{4B740EBE-1283-4983-B2E3-9D505A1BFDA0}" done="1">
    <text>@PEREZ RUIZ Alvaro, la charge doit être réduite à deux décimales</text>
    <mentions>
      <mention mentionpersonId="{EB8680D9-6DF2-4025-A79D-367C247DA7E6}" mentionId="{FF9F0ECE-EECA-4412-9279-770E4709FB02}" startIndex="0" length="18"/>
    </mentions>
  </threadedComment>
  <threadedComment ref="D239" dT="2023-02-17T11:01:51.06" personId="{5FE567FA-6030-4BC9-9660-8EF945ED67DC}" id="{B5410B86-45BB-488C-941A-AE88A10B5FA1}" done="1">
    <text>@PEREZ RUIZ Alvaro : L'avoine (ligne 92) n'est pas prise en compte dans les formules =&gt; Les calculs des lignes 240 à 244 ont été étendus sur base des lignes 92 à 236</text>
    <mentions>
      <mention mentionpersonId="{EB8680D9-6DF2-4025-A79D-367C247DA7E6}" mentionId="{4C54C572-BA62-4690-87A4-7294C65EBD21}" startIndex="0" length="18"/>
    </mentions>
  </threadedComment>
  <threadedComment ref="D239" dT="2023-02-20T11:22:02.39" personId="{5FE567FA-6030-4BC9-9660-8EF945ED67DC}" id="{917F2248-406A-4AC9-8D45-E25F35E4242A}" parentId="{B5410B86-45BB-488C-941A-AE88A10B5FA1}">
    <text>@PEREZ RUIZ Alvaro : ATTENTION, le prorata ne se calcule pas sur la superficie =&gt; Calcul à adapter comme suit : =(SOMME.SI($D$93:$E$236;1;E93:E236))-D87</text>
    <mentions>
      <mention mentionpersonId="{EB8680D9-6DF2-4025-A79D-367C247DA7E6}" mentionId="{CC483E8E-313E-4388-96F8-661D18AF6CF1}" startIndex="0" length="18"/>
    </mentions>
  </threadedComment>
</ThreadedComments>
</file>

<file path=xl/threadedComments/threadedComment2.xml><?xml version="1.0" encoding="utf-8"?>
<ThreadedComments xmlns="http://schemas.microsoft.com/office/spreadsheetml/2018/threadedcomments" xmlns:x="http://schemas.openxmlformats.org/spreadsheetml/2006/main">
  <threadedComment ref="G40" dT="2023-01-09T13:28:52.05" personId="{B228C0D8-4C88-46E5-B7FB-DCE44CC9591C}" id="{9AF14C14-9BFA-46EE-964F-813C3F7F6A1B}">
    <text>ta</text>
  </threadedComment>
  <threadedComment ref="G41" dT="2023-01-09T13:28:57.14" personId="{B228C0D8-4C88-46E5-B7FB-DCE44CC9591C}" id="{51094C81-4807-4BA0-9C44-5C02C96446CC}">
    <text>sau</text>
  </threadedComment>
  <threadedComment ref="E100" dT="2022-12-23T15:03:09.50" personId="{B228C0D8-4C88-46E5-B7FB-DCE44CC9591C}" id="{B3F6A302-261C-4FDE-8A5D-3C3B1801686C}">
    <text>@FAUX Philippe-François, l'objectif est de mettre une condition supplementaire pour l'ER ME avec la jachère dérogée? si oui, alors il faut que le respect bcae 8  soit de type 1(jachère dérogée)*(somme des autres) &gt;1</text>
    <mentions>
      <mention mentionpersonId="{3E024766-8DB4-4FEA-ACE4-14B461D29643}" mentionId="{7F477C96-7AB0-4660-9CA5-66193DDA3A90}" startIndex="0" length="23"/>
    </mentions>
  </threadedComment>
  <threadedComment ref="E100" dT="2022-12-23T15:21:52.54" personId="{E6F97253-58E0-43B1-8D48-3915DFA17EFE}" id="{5E03AE10-3B25-47E8-B665-929441288D69}" parentId="{B3F6A302-261C-4FDE-8A5D-3C3B1801686C}">
    <text>j'ai distingué 2 choses : respect BCAE 8 (cellule C102 ; incluant dérogation jachères) et éligibilité ER maillage (cellule C105)</text>
  </threadedComment>
  <threadedComment ref="E100" dT="2022-12-23T15:22:39.44" personId="{E6F97253-58E0-43B1-8D48-3915DFA17EFE}" id="{1356B51C-FB7F-487B-862B-EB2836E6BD52}" parentId="{B3F6A302-261C-4FDE-8A5D-3C3B1801686C}">
    <text>normalement, c'est ok. J'ai fait 2-3 tests et ça a l'air de fonctionner correctement.</text>
  </threadedComment>
</ThreadedComments>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https://agriculture.wallonie.be/simulateur-de-calcul-des-aides" TargetMode="External"/></Relationships>
</file>

<file path=xl/worksheets/_rels/sheet10.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5.xml"/><Relationship Id="rId1" Type="http://schemas.openxmlformats.org/officeDocument/2006/relationships/printerSettings" Target="../printerSettings/printerSettings9.bin"/><Relationship Id="rId4" Type="http://schemas.openxmlformats.org/officeDocument/2006/relationships/comments" Target="../comments3.xml"/></Relationships>
</file>

<file path=xl/worksheets/_rels/sheet11.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11.bin"/><Relationship Id="rId4" Type="http://schemas.microsoft.com/office/2017/10/relationships/threadedComment" Target="../threadedComments/threadedComment2.xml"/></Relationships>
</file>

<file path=xl/worksheets/_rels/sheet13.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6.vml"/><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3" Type="http://schemas.openxmlformats.org/officeDocument/2006/relationships/vmlDrawing" Target="../drawings/vmlDrawing7.vml"/><Relationship Id="rId2" Type="http://schemas.openxmlformats.org/officeDocument/2006/relationships/drawing" Target="../drawings/drawing6.xml"/><Relationship Id="rId1" Type="http://schemas.openxmlformats.org/officeDocument/2006/relationships/printerSettings" Target="../printerSettings/printerSettings13.bin"/><Relationship Id="rId4" Type="http://schemas.openxmlformats.org/officeDocument/2006/relationships/comments" Target="../comments7.xml"/></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6.xml.rels><?xml version="1.0" encoding="UTF-8" standalone="yes"?>
<Relationships xmlns="http://schemas.openxmlformats.org/package/2006/relationships"><Relationship Id="rId3" Type="http://schemas.openxmlformats.org/officeDocument/2006/relationships/comments" Target="../comments8.xml"/><Relationship Id="rId2" Type="http://schemas.openxmlformats.org/officeDocument/2006/relationships/vmlDrawing" Target="../drawings/vmlDrawing8.vml"/><Relationship Id="rId1" Type="http://schemas.openxmlformats.org/officeDocument/2006/relationships/printerSettings" Target="../printerSettings/printerSettings15.bin"/></Relationships>
</file>

<file path=xl/worksheets/_rels/sheet17.xml.rels><?xml version="1.0" encoding="UTF-8" standalone="yes"?>
<Relationships xmlns="http://schemas.openxmlformats.org/package/2006/relationships"><Relationship Id="rId3" Type="http://schemas.openxmlformats.org/officeDocument/2006/relationships/comments" Target="../comments9.xml"/><Relationship Id="rId2" Type="http://schemas.openxmlformats.org/officeDocument/2006/relationships/vmlDrawing" Target="../drawings/vmlDrawing9.vml"/><Relationship Id="rId1" Type="http://schemas.openxmlformats.org/officeDocument/2006/relationships/printerSettings" Target="../printerSettings/printerSettings16.bin"/></Relationships>
</file>

<file path=xl/worksheets/_rels/sheet18.xml.rels><?xml version="1.0" encoding="UTF-8" standalone="yes"?>
<Relationships xmlns="http://schemas.openxmlformats.org/package/2006/relationships"><Relationship Id="rId3" Type="http://schemas.openxmlformats.org/officeDocument/2006/relationships/comments" Target="../comments10.xml"/><Relationship Id="rId2" Type="http://schemas.openxmlformats.org/officeDocument/2006/relationships/vmlDrawing" Target="../drawings/vmlDrawing10.vml"/><Relationship Id="rId1" Type="http://schemas.openxmlformats.org/officeDocument/2006/relationships/printerSettings" Target="../printerSettings/printerSettings17.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xml.rels><?xml version="1.0" encoding="UTF-8" standalone="yes"?>
<Relationships xmlns="http://schemas.openxmlformats.org/package/2006/relationships"><Relationship Id="rId8" Type="http://schemas.openxmlformats.org/officeDocument/2006/relationships/hyperlink" Target="https://agriculture.wallonie.be/soutien-couple-aux-bovins-femelles-viandeux" TargetMode="External"/><Relationship Id="rId13" Type="http://schemas.openxmlformats.org/officeDocument/2006/relationships/hyperlink" Target="https://agriculture.wallonie.be/maec-tournieres-enherbees" TargetMode="External"/><Relationship Id="rId18" Type="http://schemas.openxmlformats.org/officeDocument/2006/relationships/hyperlink" Target="https://agriculture.wallonie.be/eco-regime-culture-favorable-a-l-environnement" TargetMode="External"/><Relationship Id="rId26" Type="http://schemas.openxmlformats.org/officeDocument/2006/relationships/drawing" Target="../drawings/drawing2.xml"/><Relationship Id="rId3" Type="http://schemas.openxmlformats.org/officeDocument/2006/relationships/hyperlink" Target="https://agriculture.wallonie.be/paiement-redistributif1" TargetMode="External"/><Relationship Id="rId21" Type="http://schemas.openxmlformats.org/officeDocument/2006/relationships/hyperlink" Target="https://agriculture.wallonie.be/maec-sol" TargetMode="External"/><Relationship Id="rId7" Type="http://schemas.openxmlformats.org/officeDocument/2006/relationships/hyperlink" Target="https://agriculture.wallonie.be/soutien-couple-aux-vaches-mixtes" TargetMode="External"/><Relationship Id="rId12" Type="http://schemas.openxmlformats.org/officeDocument/2006/relationships/hyperlink" Target="https://agriculture.wallonie.be/jeune-agriculteur" TargetMode="External"/><Relationship Id="rId17" Type="http://schemas.openxmlformats.org/officeDocument/2006/relationships/hyperlink" Target="https://agriculture.wallonie.be/maec-prairie-naturelle" TargetMode="External"/><Relationship Id="rId25" Type="http://schemas.openxmlformats.org/officeDocument/2006/relationships/printerSettings" Target="../printerSettings/printerSettings2.bin"/><Relationship Id="rId2" Type="http://schemas.openxmlformats.org/officeDocument/2006/relationships/hyperlink" Target="https://agriculture.wallonie.be/paiement-redistributif1" TargetMode="External"/><Relationship Id="rId16" Type="http://schemas.openxmlformats.org/officeDocument/2006/relationships/hyperlink" Target="https://agriculture.wallonie.be/maec-prairie-a-haute-valeur-biologique" TargetMode="External"/><Relationship Id="rId20" Type="http://schemas.openxmlformats.org/officeDocument/2006/relationships/hyperlink" Target="https://borsus.wallonie.be/home/communiques-de-presse/communiques-de-presse/presses/secheresse-et-guerre-en-ukraine--des-derogations-accordees-au-secteur-agricole.html" TargetMode="External"/><Relationship Id="rId1" Type="http://schemas.openxmlformats.org/officeDocument/2006/relationships/hyperlink" Target="https://agriculture.wallonie.be/aide-de-base-au-revenu-pour-un-developpement-durable" TargetMode="External"/><Relationship Id="rId6" Type="http://schemas.openxmlformats.org/officeDocument/2006/relationships/hyperlink" Target="https://agriculture.wallonie.be/soutien-couple-a-la-brebis" TargetMode="External"/><Relationship Id="rId11" Type="http://schemas.openxmlformats.org/officeDocument/2006/relationships/hyperlink" Target="https://agriculture.wallonie.be/soutien-couple-aux-cultures-de-proteines-vegetales" TargetMode="External"/><Relationship Id="rId24" Type="http://schemas.openxmlformats.org/officeDocument/2006/relationships/hyperlink" Target="https://agriculture.wallonie.be/soutien-a-l-agriculture-biologique" TargetMode="External"/><Relationship Id="rId5" Type="http://schemas.openxmlformats.org/officeDocument/2006/relationships/hyperlink" Target="https://agriculture.wallonie.be/aide-de-base-au-revenu-pour-un-developpement-durable" TargetMode="External"/><Relationship Id="rId15" Type="http://schemas.openxmlformats.org/officeDocument/2006/relationships/hyperlink" Target="https://agriculture.wallonie.be/maec-autonomie-fourragere" TargetMode="External"/><Relationship Id="rId23" Type="http://schemas.openxmlformats.org/officeDocument/2006/relationships/hyperlink" Target="https://agriculture.wallonie.be/maec-plan-d-action-agro-environnemental" TargetMode="External"/><Relationship Id="rId10" Type="http://schemas.openxmlformats.org/officeDocument/2006/relationships/hyperlink" Target="https://agriculture.wallonie.be/aide-de-base-au-revenu-pour-un-developpement-durable" TargetMode="External"/><Relationship Id="rId19" Type="http://schemas.openxmlformats.org/officeDocument/2006/relationships/hyperlink" Target="https://agriculture.wallonie.be/bcae-8-part-minimale-de-terres-arables-consacree-a-des-surfaces-et-des-elements-non-productifs" TargetMode="External"/><Relationship Id="rId4" Type="http://schemas.openxmlformats.org/officeDocument/2006/relationships/hyperlink" Target="https://agriculture.wallonie.be/aide-complementaire-au-revenu-pour-les-jeunes-agriculteurs" TargetMode="External"/><Relationship Id="rId9" Type="http://schemas.openxmlformats.org/officeDocument/2006/relationships/hyperlink" Target="https://agriculture.wallonie.be/soutien-couple-aux-vaches-laitieres" TargetMode="External"/><Relationship Id="rId14" Type="http://schemas.openxmlformats.org/officeDocument/2006/relationships/hyperlink" Target="https://agriculture.wallonie.be/maec-parcelles-amenagees" TargetMode="External"/><Relationship Id="rId22" Type="http://schemas.openxmlformats.org/officeDocument/2006/relationships/hyperlink" Target="https://agriculture.wallonie.be/maec-sol" TargetMode="External"/></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3.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22.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4.xml"/><Relationship Id="rId1" Type="http://schemas.openxmlformats.org/officeDocument/2006/relationships/printerSettings" Target="../printerSettings/printerSettings4.bin"/><Relationship Id="rId6" Type="http://schemas.microsoft.com/office/2019/04/relationships/documenttask" Target="../documenttasks/documenttask1.xml"/><Relationship Id="rId5" Type="http://schemas.microsoft.com/office/2017/10/relationships/threadedComment" Target="../threadedComments/threadedComment1.xml"/><Relationship Id="rId4" Type="http://schemas.openxmlformats.org/officeDocument/2006/relationships/comments" Target="../comments1.xm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1CEA1FE-F1E2-4453-A227-A29492BD19C8}">
  <sheetPr codeName="Feuil1">
    <tabColor rgb="FFFFC000"/>
  </sheetPr>
  <dimension ref="A1:J40"/>
  <sheetViews>
    <sheetView showGridLines="0" zoomScale="115" zoomScaleNormal="115" workbookViewId="0">
      <selection activeCell="A6" sqref="A6:C6"/>
    </sheetView>
  </sheetViews>
  <sheetFormatPr baseColWidth="10" defaultColWidth="11.42578125" defaultRowHeight="15" x14ac:dyDescent="0.25"/>
  <cols>
    <col min="1" max="1" width="11.28515625" customWidth="1"/>
    <col min="2" max="2" width="59.42578125" customWidth="1"/>
    <col min="3" max="3" width="66.5703125" customWidth="1"/>
    <col min="4" max="4" width="25.42578125" customWidth="1"/>
    <col min="5" max="5" width="37.42578125" customWidth="1"/>
    <col min="6" max="13" width="11.28515625" customWidth="1"/>
  </cols>
  <sheetData>
    <row r="1" spans="1:8" ht="84.6" customHeight="1" x14ac:dyDescent="0.25">
      <c r="A1" s="1289" t="s">
        <v>0</v>
      </c>
      <c r="B1" s="1289"/>
      <c r="C1" s="1289"/>
    </row>
    <row r="2" spans="1:8" ht="18.75" x14ac:dyDescent="0.25">
      <c r="A2" s="112"/>
      <c r="B2" s="112"/>
      <c r="C2" s="112"/>
    </row>
    <row r="3" spans="1:8" ht="18.75" x14ac:dyDescent="0.25">
      <c r="A3" s="112"/>
      <c r="B3" s="112"/>
      <c r="C3" s="112"/>
    </row>
    <row r="5" spans="1:8" x14ac:dyDescent="0.25">
      <c r="B5" t="s">
        <v>1</v>
      </c>
    </row>
    <row r="6" spans="1:8" ht="50.45" customHeight="1" x14ac:dyDescent="0.25">
      <c r="A6" s="1290" t="s">
        <v>2</v>
      </c>
      <c r="B6" s="1290"/>
      <c r="C6" s="1290"/>
    </row>
    <row r="7" spans="1:8" ht="33.75" customHeight="1" x14ac:dyDescent="0.25"/>
    <row r="8" spans="1:8" ht="41.25" customHeight="1" x14ac:dyDescent="0.25">
      <c r="B8" s="512" t="s">
        <v>3</v>
      </c>
      <c r="C8" s="513" t="s">
        <v>4</v>
      </c>
    </row>
    <row r="9" spans="1:8" ht="39" customHeight="1" x14ac:dyDescent="0.25">
      <c r="B9" s="514" t="s">
        <v>5</v>
      </c>
      <c r="C9" s="513" t="s">
        <v>6</v>
      </c>
    </row>
    <row r="10" spans="1:8" ht="27" customHeight="1" x14ac:dyDescent="0.25">
      <c r="B10" s="515" t="s">
        <v>7</v>
      </c>
      <c r="C10" s="513" t="s">
        <v>8</v>
      </c>
    </row>
    <row r="11" spans="1:8" ht="30.75" customHeight="1" x14ac:dyDescent="0.25">
      <c r="B11" s="1047" t="s">
        <v>9</v>
      </c>
      <c r="C11" s="1201" t="s">
        <v>10</v>
      </c>
    </row>
    <row r="13" spans="1:8" s="31" customFormat="1" ht="17.25" x14ac:dyDescent="0.3">
      <c r="A13" s="205"/>
      <c r="B13" s="380" t="s">
        <v>11</v>
      </c>
      <c r="D13" s="380"/>
      <c r="E13" s="380"/>
      <c r="F13" s="380"/>
      <c r="G13" s="380"/>
      <c r="H13" s="202"/>
    </row>
    <row r="14" spans="1:8" s="31" customFormat="1" ht="17.25" x14ac:dyDescent="0.3">
      <c r="A14" s="205"/>
      <c r="B14" s="316"/>
      <c r="C14" s="380"/>
      <c r="D14" s="380"/>
      <c r="E14" s="380"/>
      <c r="F14" s="380"/>
      <c r="G14" s="380"/>
      <c r="H14" s="202"/>
    </row>
    <row r="15" spans="1:8" s="31" customFormat="1" ht="51.75" customHeight="1" x14ac:dyDescent="0.3">
      <c r="A15" s="205"/>
      <c r="B15" s="1198" t="s">
        <v>12</v>
      </c>
      <c r="C15" s="1195" t="s">
        <v>13</v>
      </c>
      <c r="D15" s="619"/>
      <c r="E15" s="380"/>
      <c r="F15" s="380"/>
      <c r="G15" s="380"/>
      <c r="H15" s="202"/>
    </row>
    <row r="16" spans="1:8" s="31" customFormat="1" ht="31.5" customHeight="1" x14ac:dyDescent="0.3">
      <c r="A16" s="205"/>
      <c r="B16" s="1198" t="s">
        <v>14</v>
      </c>
      <c r="C16" s="1196" t="s">
        <v>13</v>
      </c>
      <c r="D16" s="619"/>
      <c r="G16" s="380"/>
      <c r="H16" s="202"/>
    </row>
    <row r="17" spans="1:10" s="31" customFormat="1" ht="31.5" customHeight="1" x14ac:dyDescent="0.3">
      <c r="A17" s="205"/>
      <c r="B17" s="1198" t="s">
        <v>15</v>
      </c>
      <c r="C17" s="1197" t="s">
        <v>16</v>
      </c>
      <c r="D17" s="1194"/>
      <c r="G17" s="548"/>
      <c r="H17" s="202"/>
    </row>
    <row r="18" spans="1:10" s="31" customFormat="1" ht="17.25" x14ac:dyDescent="0.3">
      <c r="A18" s="205"/>
      <c r="B18" s="316"/>
      <c r="C18" s="380"/>
      <c r="G18" s="548"/>
      <c r="H18" s="202"/>
    </row>
    <row r="19" spans="1:10" s="31" customFormat="1" ht="32.25" customHeight="1" x14ac:dyDescent="0.3">
      <c r="A19" s="205"/>
      <c r="B19" s="1288" t="s">
        <v>17</v>
      </c>
      <c r="C19" s="1288"/>
      <c r="D19" s="873"/>
      <c r="E19" s="874"/>
      <c r="F19" s="928"/>
      <c r="G19" s="548"/>
      <c r="H19" s="202"/>
    </row>
    <row r="20" spans="1:10" s="31" customFormat="1" ht="27" customHeight="1" x14ac:dyDescent="0.3">
      <c r="A20" s="205"/>
      <c r="B20" s="1199" t="s">
        <v>18</v>
      </c>
      <c r="C20" s="1200"/>
      <c r="E20"/>
      <c r="F20"/>
      <c r="G20" s="548"/>
      <c r="H20" s="202"/>
    </row>
    <row r="21" spans="1:10" s="31" customFormat="1" ht="17.25" x14ac:dyDescent="0.3">
      <c r="A21" s="205"/>
      <c r="B21" s="316"/>
      <c r="E21" s="874"/>
      <c r="F21" s="928"/>
      <c r="G21" s="548"/>
      <c r="H21" s="202"/>
      <c r="J21" s="238"/>
    </row>
    <row r="22" spans="1:10" x14ac:dyDescent="0.25">
      <c r="B22" s="12"/>
    </row>
    <row r="23" spans="1:10" x14ac:dyDescent="0.25">
      <c r="B23" s="12"/>
    </row>
    <row r="24" spans="1:10" x14ac:dyDescent="0.25">
      <c r="B24" s="12" t="s">
        <v>19</v>
      </c>
    </row>
    <row r="25" spans="1:10" x14ac:dyDescent="0.25">
      <c r="B25" s="12" t="s">
        <v>20</v>
      </c>
    </row>
    <row r="28" spans="1:10" x14ac:dyDescent="0.25">
      <c r="B28" s="30"/>
    </row>
    <row r="29" spans="1:10" x14ac:dyDescent="0.25">
      <c r="B29" s="135"/>
    </row>
    <row r="30" spans="1:10" x14ac:dyDescent="0.25">
      <c r="B30" s="12"/>
    </row>
    <row r="31" spans="1:10" x14ac:dyDescent="0.25">
      <c r="B31" s="12"/>
    </row>
    <row r="32" spans="1:10" x14ac:dyDescent="0.25">
      <c r="B32" s="12"/>
    </row>
    <row r="33" spans="2:2" x14ac:dyDescent="0.25">
      <c r="B33" s="12"/>
    </row>
    <row r="36" spans="2:2" ht="15.6" customHeight="1" x14ac:dyDescent="0.25">
      <c r="B36" s="30"/>
    </row>
    <row r="37" spans="2:2" x14ac:dyDescent="0.25">
      <c r="B37" s="135"/>
    </row>
    <row r="38" spans="2:2" x14ac:dyDescent="0.25">
      <c r="B38" s="12"/>
    </row>
    <row r="39" spans="2:2" x14ac:dyDescent="0.25">
      <c r="B39" s="12"/>
    </row>
    <row r="40" spans="2:2" x14ac:dyDescent="0.25">
      <c r="B40" s="12"/>
    </row>
  </sheetData>
  <mergeCells count="3">
    <mergeCell ref="B19:C19"/>
    <mergeCell ref="A1:C1"/>
    <mergeCell ref="A6:C6"/>
  </mergeCells>
  <hyperlinks>
    <hyperlink ref="C11" r:id="rId1" xr:uid="{02A22815-5C51-4CA7-94B9-81BD3B1B5817}"/>
  </hyperlinks>
  <pageMargins left="0.7" right="0.7" top="0.75" bottom="0.75" header="0.3" footer="0.3"/>
  <pageSetup paperSize="9" orientation="portrait" r:id="rId2"/>
  <drawing r:id="rId3"/>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19B1FE0-A172-44AD-AB8A-D51D30EDD170}">
  <sheetPr codeName="Feuil14"/>
  <dimension ref="A1:T120"/>
  <sheetViews>
    <sheetView topLeftCell="A52" zoomScale="120" zoomScaleNormal="120" workbookViewId="0">
      <selection activeCell="I68" sqref="I68"/>
    </sheetView>
  </sheetViews>
  <sheetFormatPr baseColWidth="10" defaultColWidth="11.42578125" defaultRowHeight="15" x14ac:dyDescent="0.25"/>
  <cols>
    <col min="1" max="1" width="35.28515625" customWidth="1"/>
    <col min="2" max="2" width="13.5703125" customWidth="1"/>
    <col min="3" max="3" width="13.7109375" customWidth="1"/>
    <col min="6" max="6" width="13.85546875" customWidth="1"/>
    <col min="7" max="7" width="16.28515625" customWidth="1"/>
    <col min="8" max="8" width="17.7109375" customWidth="1"/>
    <col min="13" max="13" width="54.28515625" bestFit="1" customWidth="1"/>
    <col min="14" max="14" width="13.42578125" bestFit="1" customWidth="1"/>
    <col min="15" max="15" width="18.7109375" customWidth="1"/>
  </cols>
  <sheetData>
    <row r="1" spans="1:9" x14ac:dyDescent="0.25">
      <c r="C1" s="133"/>
      <c r="H1" s="305" t="s">
        <v>1048</v>
      </c>
      <c r="I1" s="305"/>
    </row>
    <row r="2" spans="1:9" x14ac:dyDescent="0.25">
      <c r="A2" s="361" t="s">
        <v>1049</v>
      </c>
      <c r="B2" t="str">
        <f>'2. VOS DONNEES'!E113</f>
        <v>NON</v>
      </c>
      <c r="H2" s="581" t="s">
        <v>1050</v>
      </c>
      <c r="I2" s="33">
        <v>1</v>
      </c>
    </row>
    <row r="3" spans="1:9" x14ac:dyDescent="0.25">
      <c r="A3" s="361" t="s">
        <v>1051</v>
      </c>
      <c r="B3" t="str">
        <f>'2. VOS DONNEES'!E118</f>
        <v>NON</v>
      </c>
      <c r="H3" s="581" t="s">
        <v>1052</v>
      </c>
      <c r="I3" s="33">
        <v>0</v>
      </c>
    </row>
    <row r="4" spans="1:9" ht="15" customHeight="1" x14ac:dyDescent="0.25">
      <c r="A4" s="361" t="s">
        <v>1053</v>
      </c>
      <c r="B4" t="str">
        <f>'2. VOS DONNEES'!E123</f>
        <v>OUI</v>
      </c>
      <c r="H4" s="581" t="s">
        <v>1054</v>
      </c>
      <c r="I4" s="33">
        <v>0</v>
      </c>
    </row>
    <row r="5" spans="1:9" ht="15" customHeight="1" x14ac:dyDescent="0.25">
      <c r="A5" s="361" t="s">
        <v>1055</v>
      </c>
      <c r="B5" t="str">
        <f>'2. VOS DONNEES'!E129</f>
        <v>NON</v>
      </c>
      <c r="H5" s="581" t="s">
        <v>1056</v>
      </c>
      <c r="I5" s="33">
        <v>0</v>
      </c>
    </row>
    <row r="6" spans="1:9" ht="47.45" customHeight="1" x14ac:dyDescent="0.25">
      <c r="A6" s="580" t="s">
        <v>1057</v>
      </c>
      <c r="B6" t="str" cm="1">
        <f t="array" ref="B6:C6">'2. VOS DONNEES'!E19:F19</f>
        <v>OUI</v>
      </c>
      <c r="C6">
        <v>0</v>
      </c>
      <c r="H6" s="581" t="s">
        <v>1058</v>
      </c>
      <c r="I6" s="33">
        <v>0</v>
      </c>
    </row>
    <row r="7" spans="1:9" ht="15.75" thickBot="1" x14ac:dyDescent="0.3">
      <c r="H7" s="581" t="s">
        <v>1059</v>
      </c>
      <c r="I7" s="33">
        <v>0</v>
      </c>
    </row>
    <row r="8" spans="1:9" ht="15.75" thickBot="1" x14ac:dyDescent="0.3">
      <c r="A8" s="1529" t="s">
        <v>1060</v>
      </c>
      <c r="B8" s="1530"/>
      <c r="C8" s="1530"/>
      <c r="D8" s="1530"/>
      <c r="E8" s="1530"/>
      <c r="F8" s="1531"/>
    </row>
    <row r="9" spans="1:9" x14ac:dyDescent="0.25">
      <c r="A9" s="325" t="s">
        <v>1060</v>
      </c>
      <c r="B9" t="s">
        <v>1061</v>
      </c>
    </row>
    <row r="10" spans="1:9" x14ac:dyDescent="0.25">
      <c r="A10" s="357" t="s">
        <v>1062</v>
      </c>
      <c r="B10">
        <v>27</v>
      </c>
    </row>
    <row r="11" spans="1:9" x14ac:dyDescent="0.25">
      <c r="A11" t="s">
        <v>1063</v>
      </c>
      <c r="B11" s="340">
        <f>IF(B5="non",0,IF('2. VOS DONNEES'!E130&gt;=30,'2. VOS DONNEES'!E130,0))</f>
        <v>0</v>
      </c>
    </row>
    <row r="12" spans="1:9" ht="30.75" thickBot="1" x14ac:dyDescent="0.3">
      <c r="A12" s="328"/>
      <c r="B12" s="585" t="s">
        <v>1064</v>
      </c>
      <c r="C12" t="s">
        <v>1065</v>
      </c>
      <c r="D12" s="330" t="s">
        <v>1066</v>
      </c>
      <c r="E12" s="330" t="s">
        <v>1067</v>
      </c>
      <c r="F12" s="331"/>
    </row>
    <row r="13" spans="1:9" ht="15.75" thickBot="1" x14ac:dyDescent="0.3">
      <c r="A13" s="328" t="s">
        <v>1068</v>
      </c>
      <c r="B13" s="351">
        <f>IF($B$6="Oui",IF('2. VOS DONNEES'!G23="Oui",'2. VOS DONNEES'!A23,0),I2)</f>
        <v>0</v>
      </c>
      <c r="C13" s="352">
        <f>'2. VOS DONNEES'!E23*B13</f>
        <v>0</v>
      </c>
      <c r="D13" s="330">
        <f>IF(C13&gt;0,$B$11*C13/100,)</f>
        <v>0</v>
      </c>
      <c r="E13" s="332">
        <f>IF(D13&gt;400,400*$B$10,IF(AND(D13&gt;=0,D13&lt;=400),D13*$B$10,""))</f>
        <v>0</v>
      </c>
      <c r="F13" s="331" t="str">
        <f>IF(D13&gt;400,"Limité à 400 VL",IF(AND(D13&gt;0,D13&lt;=400)," limité à "&amp;D13&amp;" VL",IF(D13&lt;0,"Hors limite","")))</f>
        <v/>
      </c>
      <c r="G13" s="590" t="s">
        <v>1069</v>
      </c>
    </row>
    <row r="14" spans="1:9" x14ac:dyDescent="0.25">
      <c r="A14" s="328" t="s">
        <v>1070</v>
      </c>
      <c r="B14" s="351">
        <f>IF($B$6="Oui",IF('2. VOS DONNEES'!G24="Oui",'2. VOS DONNEES'!A24,0),I3)</f>
        <v>0</v>
      </c>
      <c r="C14" s="352">
        <f>'2. VOS DONNEES'!E24*B14</f>
        <v>0</v>
      </c>
      <c r="D14" s="330">
        <f t="shared" ref="D14:D18" si="0">IF(C14&gt;0,$B$11*C14/100,)</f>
        <v>0</v>
      </c>
      <c r="E14" s="332">
        <f t="shared" ref="E14:E18" si="1">IF(D14&gt;400,400*$B$10,IF(AND(D14&gt;=0,D14&lt;=400),D14*$B$10,""))</f>
        <v>0</v>
      </c>
      <c r="F14" s="331" t="str">
        <f t="shared" ref="F14:F18" si="2">IF(D14&gt;400,"Limité à 400 VL",IF(AND(D14&gt;0,D14&lt;=400)," limité à "&amp;D14&amp;" VL",IF(D14&lt;0,"Hors limite","")))</f>
        <v/>
      </c>
      <c r="G14" s="586" t="s">
        <v>1071</v>
      </c>
    </row>
    <row r="15" spans="1:9" x14ac:dyDescent="0.25">
      <c r="A15" s="328" t="s">
        <v>1072</v>
      </c>
      <c r="B15" s="351">
        <f>IF($B$6="Oui",IF('2. VOS DONNEES'!G25="Oui",'2. VOS DONNEES'!A25,0),I4)</f>
        <v>0</v>
      </c>
      <c r="C15" s="352">
        <f>'2. VOS DONNEES'!E25*B15</f>
        <v>0</v>
      </c>
      <c r="D15" s="330">
        <f t="shared" si="0"/>
        <v>0</v>
      </c>
      <c r="E15" s="332">
        <f t="shared" si="1"/>
        <v>0</v>
      </c>
      <c r="F15" s="331" t="str">
        <f t="shared" si="2"/>
        <v/>
      </c>
      <c r="G15" s="587">
        <f>MIN(B11,400)</f>
        <v>0</v>
      </c>
    </row>
    <row r="16" spans="1:9" x14ac:dyDescent="0.25">
      <c r="A16" s="328" t="s">
        <v>1073</v>
      </c>
      <c r="B16" s="351">
        <f>IF($B$6="Oui",IF('2. VOS DONNEES'!G26="Oui",'2. VOS DONNEES'!A26,0),I5)</f>
        <v>0</v>
      </c>
      <c r="C16" s="352">
        <f>'2. VOS DONNEES'!E26*B16</f>
        <v>0</v>
      </c>
      <c r="D16" s="330">
        <f t="shared" si="0"/>
        <v>0</v>
      </c>
      <c r="E16" s="332">
        <f t="shared" si="1"/>
        <v>0</v>
      </c>
      <c r="F16" s="331" t="str">
        <f t="shared" si="2"/>
        <v/>
      </c>
      <c r="G16" s="588" t="s">
        <v>1074</v>
      </c>
    </row>
    <row r="17" spans="1:8" x14ac:dyDescent="0.25">
      <c r="A17" s="328" t="s">
        <v>1075</v>
      </c>
      <c r="B17" s="351">
        <f>IF($B$6="Oui",IF('2. VOS DONNEES'!G27="Oui",'2. VOS DONNEES'!A27,0),I6)</f>
        <v>0</v>
      </c>
      <c r="C17" s="352">
        <f>'2. VOS DONNEES'!E27*B17</f>
        <v>0</v>
      </c>
      <c r="D17" s="330">
        <f t="shared" si="0"/>
        <v>0</v>
      </c>
      <c r="E17" s="332">
        <f t="shared" si="1"/>
        <v>0</v>
      </c>
      <c r="F17" s="331" t="str">
        <f t="shared" si="2"/>
        <v/>
      </c>
      <c r="G17" s="208">
        <f>G15*$B$10</f>
        <v>0</v>
      </c>
    </row>
    <row r="18" spans="1:8" x14ac:dyDescent="0.25">
      <c r="A18" s="328" t="s">
        <v>1076</v>
      </c>
      <c r="B18" s="351">
        <f>IF($B$6="Oui",IF('2. VOS DONNEES'!G28="Oui",'2. VOS DONNEES'!A28,0),I7)</f>
        <v>0</v>
      </c>
      <c r="C18" s="352">
        <f>'2. VOS DONNEES'!E28*B18</f>
        <v>0</v>
      </c>
      <c r="D18" s="330">
        <f t="shared" si="0"/>
        <v>0</v>
      </c>
      <c r="E18" s="332">
        <f t="shared" si="1"/>
        <v>0</v>
      </c>
      <c r="F18" s="331" t="str">
        <f t="shared" si="2"/>
        <v/>
      </c>
      <c r="G18" s="588" t="s">
        <v>1077</v>
      </c>
    </row>
    <row r="19" spans="1:8" ht="15.75" thickBot="1" x14ac:dyDescent="0.3">
      <c r="A19" s="333" t="s">
        <v>1078</v>
      </c>
      <c r="B19" s="334">
        <f>SUM(B13:B18)</f>
        <v>0</v>
      </c>
      <c r="C19" s="353">
        <f>IF(SUM(C13:C18)&gt;100,"attention, somme supérieure à 100%",SUM(C13:C18))</f>
        <v>0</v>
      </c>
      <c r="D19" s="134">
        <f>SUM(D13:D18)</f>
        <v>0</v>
      </c>
      <c r="E19" s="335">
        <f>IF(B5="Oui",SUM(E13:E18),0)</f>
        <v>0</v>
      </c>
      <c r="G19" s="589">
        <f>MAX(G17,E19)</f>
        <v>0</v>
      </c>
      <c r="H19" s="614"/>
    </row>
    <row r="20" spans="1:8" ht="15.75" thickBot="1" x14ac:dyDescent="0.3">
      <c r="C20" s="204"/>
    </row>
    <row r="21" spans="1:8" ht="15.75" thickBot="1" x14ac:dyDescent="0.3">
      <c r="A21" s="1529" t="s">
        <v>1079</v>
      </c>
      <c r="B21" s="1530"/>
      <c r="C21" s="1530"/>
      <c r="D21" s="1530"/>
      <c r="E21" s="1530"/>
      <c r="F21" s="1531"/>
    </row>
    <row r="22" spans="1:8" x14ac:dyDescent="0.25">
      <c r="A22" s="30" t="s">
        <v>1080</v>
      </c>
    </row>
    <row r="23" spans="1:8" x14ac:dyDescent="0.25">
      <c r="A23" s="322" t="s">
        <v>1079</v>
      </c>
      <c r="B23" s="354">
        <f>'2. VOS DONNEES'!E114</f>
        <v>0</v>
      </c>
      <c r="C23" t="s">
        <v>1081</v>
      </c>
    </row>
    <row r="24" spans="1:8" x14ac:dyDescent="0.25">
      <c r="A24" s="322" t="s">
        <v>157</v>
      </c>
      <c r="B24" s="355">
        <f>'2. VOS DONNEES'!E115</f>
        <v>0</v>
      </c>
      <c r="C24" s="323" t="e">
        <f>B24/B23</f>
        <v>#DIV/0!</v>
      </c>
      <c r="D24" t="s">
        <v>1082</v>
      </c>
    </row>
    <row r="25" spans="1:8" x14ac:dyDescent="0.25">
      <c r="A25" s="244" t="s">
        <v>1083</v>
      </c>
      <c r="B25" s="324">
        <f>B24*1</f>
        <v>0</v>
      </c>
      <c r="C25" t="s">
        <v>1084</v>
      </c>
    </row>
    <row r="26" spans="1:8" x14ac:dyDescent="0.25">
      <c r="A26" s="322" t="s">
        <v>1085</v>
      </c>
      <c r="B26" s="355">
        <f>'2. VOS DONNEES'!E116</f>
        <v>0</v>
      </c>
    </row>
    <row r="27" spans="1:8" x14ac:dyDescent="0.25">
      <c r="A27" s="422" t="s">
        <v>1086</v>
      </c>
      <c r="B27" s="324">
        <f>B26*10</f>
        <v>0</v>
      </c>
      <c r="C27" t="s">
        <v>1087</v>
      </c>
    </row>
    <row r="28" spans="1:8" x14ac:dyDescent="0.25">
      <c r="A28" s="325" t="s">
        <v>1088</v>
      </c>
      <c r="B28" s="326">
        <f>IF(B2="non",0,MIN(B23,B25,B27))</f>
        <v>0</v>
      </c>
      <c r="C28" t="s">
        <v>1089</v>
      </c>
    </row>
    <row r="29" spans="1:8" x14ac:dyDescent="0.25">
      <c r="A29" s="357" t="s">
        <v>1062</v>
      </c>
      <c r="B29" s="359">
        <v>25</v>
      </c>
    </row>
    <row r="31" spans="1:8" x14ac:dyDescent="0.25">
      <c r="A31" s="30" t="s">
        <v>1090</v>
      </c>
      <c r="B31" t="str">
        <f>IF(B28&lt;10,"Pas assez d'animaux éligible","Seuil min. de 10 atteint")</f>
        <v>Pas assez d'animaux éligible</v>
      </c>
    </row>
    <row r="32" spans="1:8" x14ac:dyDescent="0.25">
      <c r="A32" s="325" t="s">
        <v>1091</v>
      </c>
      <c r="B32" t="s">
        <v>1092</v>
      </c>
    </row>
    <row r="33" spans="1:8" x14ac:dyDescent="0.25">
      <c r="A33" s="325" t="s">
        <v>1088</v>
      </c>
      <c r="B33" s="327">
        <f>IF(B28&lt;10,0,B28)</f>
        <v>0</v>
      </c>
    </row>
    <row r="34" spans="1:8" ht="15.75" thickBot="1" x14ac:dyDescent="0.3">
      <c r="A34" s="328"/>
      <c r="B34" s="329" t="s">
        <v>973</v>
      </c>
      <c r="C34" t="s">
        <v>1065</v>
      </c>
      <c r="D34" s="330" t="s">
        <v>1066</v>
      </c>
      <c r="E34" s="330" t="s">
        <v>1067</v>
      </c>
    </row>
    <row r="35" spans="1:8" ht="15.75" thickBot="1" x14ac:dyDescent="0.3">
      <c r="A35" s="328" t="s">
        <v>1068</v>
      </c>
      <c r="B35" s="351">
        <f>IF($B$6="Oui",IF('2. VOS DONNEES'!G23="Oui",'2. VOS DONNEES'!A23,0),I2)</f>
        <v>0</v>
      </c>
      <c r="C35" s="352">
        <f>'2. VOS DONNEES'!E23*B35</f>
        <v>0</v>
      </c>
      <c r="D35" s="330">
        <f>IF(C35&gt;0,$B$33*C35/100,)</f>
        <v>0</v>
      </c>
      <c r="E35" s="332">
        <f>IF(D35&gt;50,50*$B$29,IF(AND(D35&gt;=0,D35&lt;=50),D35*$B$29,""))</f>
        <v>0</v>
      </c>
      <c r="F35" s="591" t="str">
        <f>IF(D35&gt;50,"Limité à 50 VL",IF(AND(D35&gt;0,D35&lt;=50)," limité à "&amp;D35&amp;" VL",IF(D35&lt;0,"Hors limite","")))</f>
        <v/>
      </c>
      <c r="G35" s="590" t="s">
        <v>1069</v>
      </c>
    </row>
    <row r="36" spans="1:8" x14ac:dyDescent="0.25">
      <c r="A36" s="328" t="s">
        <v>1070</v>
      </c>
      <c r="B36" s="351">
        <f>IF($B$6="Oui",IF('2. VOS DONNEES'!G24="Oui",'2. VOS DONNEES'!A24,0),I3)</f>
        <v>0</v>
      </c>
      <c r="C36" s="352">
        <f>'2. VOS DONNEES'!E24*B36</f>
        <v>0</v>
      </c>
      <c r="D36" s="330">
        <f t="shared" ref="D36:D39" si="3">IF(C36&gt;0,$B$33*C36/100,)</f>
        <v>0</v>
      </c>
      <c r="E36" s="332">
        <f t="shared" ref="E36:E40" si="4">IF(D36&gt;50,50*$B$29,IF(AND(D36&gt;=0,D36&lt;=50),D36*$B$29,""))</f>
        <v>0</v>
      </c>
      <c r="F36" s="331" t="str">
        <f t="shared" ref="F36:F40" si="5">IF(D36&gt;50,"Limité à 50 VL",IF(AND(D36&gt;0,D36&lt;=50)," limité à "&amp;D36&amp;" VL",IF(D36&lt;0,"Hors limite","")))</f>
        <v/>
      </c>
      <c r="G36" s="586" t="s">
        <v>1071</v>
      </c>
    </row>
    <row r="37" spans="1:8" x14ac:dyDescent="0.25">
      <c r="A37" s="328" t="s">
        <v>1072</v>
      </c>
      <c r="B37" s="351">
        <f>IF($B$6="Oui",IF('2. VOS DONNEES'!G25="Oui",'2. VOS DONNEES'!A25,0),I4)</f>
        <v>0</v>
      </c>
      <c r="C37" s="352">
        <f>'2. VOS DONNEES'!E25*B37</f>
        <v>0</v>
      </c>
      <c r="D37" s="330">
        <f t="shared" si="3"/>
        <v>0</v>
      </c>
      <c r="E37" s="332">
        <f t="shared" si="4"/>
        <v>0</v>
      </c>
      <c r="F37" s="331" t="str">
        <f t="shared" si="5"/>
        <v/>
      </c>
      <c r="G37" s="587">
        <f>MIN(B33,50)</f>
        <v>0</v>
      </c>
    </row>
    <row r="38" spans="1:8" x14ac:dyDescent="0.25">
      <c r="A38" s="328" t="s">
        <v>1073</v>
      </c>
      <c r="B38" s="351">
        <f>IF($B$6="Oui",IF('2. VOS DONNEES'!G26="Oui",'2. VOS DONNEES'!A26,0),I5)</f>
        <v>0</v>
      </c>
      <c r="C38" s="352">
        <f>'2. VOS DONNEES'!E26*B38</f>
        <v>0</v>
      </c>
      <c r="D38" s="330">
        <f t="shared" si="3"/>
        <v>0</v>
      </c>
      <c r="E38" s="332">
        <f t="shared" si="4"/>
        <v>0</v>
      </c>
      <c r="F38" s="331" t="str">
        <f>IF(D38&gt;50,"Limité à 50 VL",IF(AND(D38&gt;0,D38&lt;=50)," limité à "&amp;D38&amp;" VL",IF(D38&lt;0,"Hors limite","")))</f>
        <v/>
      </c>
      <c r="G38" s="588" t="s">
        <v>1074</v>
      </c>
    </row>
    <row r="39" spans="1:8" x14ac:dyDescent="0.25">
      <c r="A39" s="328" t="s">
        <v>1075</v>
      </c>
      <c r="B39" s="351">
        <f>IF($B$6="Oui",IF('2. VOS DONNEES'!G27="Oui",'2. VOS DONNEES'!A27,0),I6)</f>
        <v>0</v>
      </c>
      <c r="C39" s="352">
        <f>'2. VOS DONNEES'!E27*B39</f>
        <v>0</v>
      </c>
      <c r="D39" s="330">
        <f t="shared" si="3"/>
        <v>0</v>
      </c>
      <c r="E39" s="332">
        <f t="shared" si="4"/>
        <v>0</v>
      </c>
      <c r="F39" s="331" t="str">
        <f t="shared" si="5"/>
        <v/>
      </c>
      <c r="G39" s="208">
        <f>G37*$B$29</f>
        <v>0</v>
      </c>
    </row>
    <row r="40" spans="1:8" x14ac:dyDescent="0.25">
      <c r="A40" s="328" t="s">
        <v>1076</v>
      </c>
      <c r="B40" s="351">
        <f>IF($B$6="Oui",IF('2. VOS DONNEES'!G28="Oui",'2. VOS DONNEES'!A28,0),I7)</f>
        <v>0</v>
      </c>
      <c r="C40" s="352">
        <f>'2. VOS DONNEES'!E28*B40</f>
        <v>0</v>
      </c>
      <c r="D40" s="330">
        <f>IF(C40&gt;0,$B$33*C40/100,)</f>
        <v>0</v>
      </c>
      <c r="E40" s="332">
        <f t="shared" si="4"/>
        <v>0</v>
      </c>
      <c r="F40" s="331" t="str">
        <f t="shared" si="5"/>
        <v/>
      </c>
      <c r="G40" s="588" t="s">
        <v>1077</v>
      </c>
    </row>
    <row r="41" spans="1:8" ht="15.75" thickBot="1" x14ac:dyDescent="0.3">
      <c r="A41" s="333" t="s">
        <v>1078</v>
      </c>
      <c r="B41" s="334">
        <f>SUM(B35:B40)</f>
        <v>0</v>
      </c>
      <c r="C41" s="356">
        <f>IF(SUM(C13:C18)&gt;100,"attention, somme supérieure à 100%",SUM(C13:C18))</f>
        <v>0</v>
      </c>
      <c r="D41" s="134">
        <f>SUM(D35:D40)</f>
        <v>0</v>
      </c>
      <c r="E41" s="335">
        <f>IF(B2="Oui",SUM(E35:E40),0)</f>
        <v>0</v>
      </c>
      <c r="G41" s="589">
        <f>MAX(G39,E41)</f>
        <v>0</v>
      </c>
      <c r="H41" s="614"/>
    </row>
    <row r="42" spans="1:8" ht="15.75" thickBot="1" x14ac:dyDescent="0.3">
      <c r="A42" s="1529" t="s">
        <v>1093</v>
      </c>
      <c r="B42" s="1530"/>
      <c r="C42" s="1530"/>
      <c r="D42" s="1530"/>
      <c r="E42" s="1530"/>
      <c r="F42" s="1531"/>
    </row>
    <row r="43" spans="1:8" x14ac:dyDescent="0.25">
      <c r="A43" s="30" t="s">
        <v>1094</v>
      </c>
    </row>
    <row r="44" spans="1:8" x14ac:dyDescent="0.25">
      <c r="A44" s="322" t="s">
        <v>1093</v>
      </c>
      <c r="B44" s="354">
        <f>'2. VOS DONNEES'!E119</f>
        <v>0</v>
      </c>
      <c r="C44" t="s">
        <v>1081</v>
      </c>
    </row>
    <row r="45" spans="1:8" x14ac:dyDescent="0.25">
      <c r="A45" s="322" t="s">
        <v>157</v>
      </c>
      <c r="B45" s="355">
        <f>'2. VOS DONNEES'!E120</f>
        <v>0</v>
      </c>
      <c r="C45" s="323" t="e">
        <f>B45/B44</f>
        <v>#DIV/0!</v>
      </c>
      <c r="D45" t="s">
        <v>1082</v>
      </c>
    </row>
    <row r="46" spans="1:8" x14ac:dyDescent="0.25">
      <c r="A46" s="244" t="s">
        <v>1083</v>
      </c>
      <c r="B46" s="324">
        <f>B45*1</f>
        <v>0</v>
      </c>
      <c r="C46" t="s">
        <v>1084</v>
      </c>
    </row>
    <row r="47" spans="1:8" x14ac:dyDescent="0.25">
      <c r="A47" s="322" t="s">
        <v>1085</v>
      </c>
      <c r="B47" s="355">
        <f>'2. VOS DONNEES'!E121</f>
        <v>0</v>
      </c>
    </row>
    <row r="48" spans="1:8" x14ac:dyDescent="0.25">
      <c r="A48" s="244" t="s">
        <v>1095</v>
      </c>
      <c r="B48" s="324">
        <f>B47*2</f>
        <v>0</v>
      </c>
      <c r="C48" t="s">
        <v>1087</v>
      </c>
    </row>
    <row r="49" spans="1:8" x14ac:dyDescent="0.25">
      <c r="A49" s="130" t="s">
        <v>1088</v>
      </c>
      <c r="B49" s="326">
        <f>IF(B3="non",0,MIN(B44,B46,B48))</f>
        <v>0</v>
      </c>
      <c r="C49" t="s">
        <v>1089</v>
      </c>
    </row>
    <row r="50" spans="1:8" x14ac:dyDescent="0.25">
      <c r="A50" s="357" t="s">
        <v>1062</v>
      </c>
      <c r="B50">
        <v>150</v>
      </c>
    </row>
    <row r="52" spans="1:8" x14ac:dyDescent="0.25">
      <c r="A52" s="30" t="s">
        <v>1090</v>
      </c>
      <c r="B52" t="str">
        <f>IF(B48&lt;10,"Pas assez d'animaux éligible","Seuil min. de 10 atteint")</f>
        <v>Pas assez d'animaux éligible</v>
      </c>
    </row>
    <row r="53" spans="1:8" x14ac:dyDescent="0.25">
      <c r="A53" s="30"/>
    </row>
    <row r="54" spans="1:8" x14ac:dyDescent="0.25">
      <c r="A54" s="325" t="s">
        <v>1093</v>
      </c>
      <c r="B54" t="s">
        <v>1096</v>
      </c>
    </row>
    <row r="55" spans="1:8" ht="15.75" thickBot="1" x14ac:dyDescent="0.3">
      <c r="A55" s="325" t="s">
        <v>1088</v>
      </c>
      <c r="B55" s="327">
        <f>IF(B49&lt;10,0,B49)</f>
        <v>0</v>
      </c>
    </row>
    <row r="56" spans="1:8" x14ac:dyDescent="0.25">
      <c r="A56" s="328"/>
      <c r="B56" s="329" t="s">
        <v>973</v>
      </c>
      <c r="C56" t="s">
        <v>1065</v>
      </c>
      <c r="D56" s="330" t="s">
        <v>1066</v>
      </c>
      <c r="E56" s="330" t="s">
        <v>1067</v>
      </c>
      <c r="G56" s="590" t="s">
        <v>1069</v>
      </c>
    </row>
    <row r="57" spans="1:8" x14ac:dyDescent="0.25">
      <c r="A57" s="328" t="s">
        <v>1068</v>
      </c>
      <c r="B57" s="351">
        <f>IF($B$6="Oui",IF('2. VOS DONNEES'!G23="Oui",'2. VOS DONNEES'!A23,0),I2)</f>
        <v>0</v>
      </c>
      <c r="C57" s="352">
        <f>'2. VOS DONNEES'!E23*B57</f>
        <v>0</v>
      </c>
      <c r="D57" s="330">
        <f>IF(C57&gt;0,$B$55*C57/100,)</f>
        <v>0</v>
      </c>
      <c r="E57" s="332">
        <f>IF(D57&gt;100,100*$B$50,IF(AND(D57&gt;=0,D57&lt;=100),D57*$B$50,""))</f>
        <v>0</v>
      </c>
      <c r="F57" s="591" t="str">
        <f>IF(D57&gt;100,"Limité à 100 VM",IF(AND(D57&gt;0,D57&lt;=100)," limité à "&amp;D57&amp;" VM",IF(D57&lt;0,"Hors limite","")))</f>
        <v/>
      </c>
      <c r="G57" s="516" t="str">
        <f>IF(D57&gt;100,"Limité à 100 VM",IF(AND(D57&gt;0,D57&lt;=100)," limité à "&amp;D57&amp;" VM",IF(D57&lt;0,"Hors limite","")))</f>
        <v/>
      </c>
    </row>
    <row r="58" spans="1:8" x14ac:dyDescent="0.25">
      <c r="A58" s="328" t="s">
        <v>1070</v>
      </c>
      <c r="B58" s="351">
        <f>IF($B$6="Oui",IF('2. VOS DONNEES'!G24="Oui",'2. VOS DONNEES'!A24,0),I3)</f>
        <v>0</v>
      </c>
      <c r="C58" s="352">
        <f>'2. VOS DONNEES'!E24*B58</f>
        <v>0</v>
      </c>
      <c r="D58" s="330">
        <f t="shared" ref="D58:D62" si="6">IF(C58&gt;0,$B$55*C58/100,)</f>
        <v>0</v>
      </c>
      <c r="E58" s="332">
        <f t="shared" ref="E58:E62" si="7">IF(D58&gt;100,100*$B$50,IF(AND(D58&gt;=0,D58&lt;=100),D58*$B$50,""))</f>
        <v>0</v>
      </c>
      <c r="F58" s="331" t="str">
        <f>IF(D58&gt;100,"Limité à 100 VM",IF(AND(D58&gt;0,D58&lt;=100)," limité à "&amp;D58&amp;" VM",IF(D58&lt;0,"Hors limite","")))</f>
        <v/>
      </c>
      <c r="G58" s="588" t="s">
        <v>1071</v>
      </c>
    </row>
    <row r="59" spans="1:8" x14ac:dyDescent="0.25">
      <c r="A59" s="328" t="s">
        <v>1072</v>
      </c>
      <c r="B59" s="351">
        <f>IF($B$6="Oui",IF('2. VOS DONNEES'!G25="Oui",'2. VOS DONNEES'!A25,0),I4)</f>
        <v>0</v>
      </c>
      <c r="C59" s="352">
        <f>'2. VOS DONNEES'!E25*B59</f>
        <v>0</v>
      </c>
      <c r="D59" s="330">
        <f t="shared" si="6"/>
        <v>0</v>
      </c>
      <c r="E59" s="332">
        <f t="shared" si="7"/>
        <v>0</v>
      </c>
      <c r="F59" s="331" t="str">
        <f>IF(D59&gt;100,"Limité à 100 VM",IF(AND(D59&gt;0,D59&lt;=100)," limité à "&amp;D59&amp;" VM",IF(D59&lt;0,"Hors limite","")))</f>
        <v/>
      </c>
      <c r="G59" s="587">
        <f>MIN(B55,100)</f>
        <v>0</v>
      </c>
    </row>
    <row r="60" spans="1:8" x14ac:dyDescent="0.25">
      <c r="A60" s="328" t="s">
        <v>1073</v>
      </c>
      <c r="B60" s="351">
        <f>IF($B$6="Oui",IF('2. VOS DONNEES'!G26="Oui",'2. VOS DONNEES'!A26,0),I5)</f>
        <v>0</v>
      </c>
      <c r="C60" s="352">
        <f>'2. VOS DONNEES'!E26*B60</f>
        <v>0</v>
      </c>
      <c r="D60" s="330">
        <f t="shared" si="6"/>
        <v>0</v>
      </c>
      <c r="E60" s="332">
        <f t="shared" si="7"/>
        <v>0</v>
      </c>
      <c r="F60" s="331" t="str">
        <f t="shared" ref="F60:F62" si="8">IF(D60&gt;100,"Limité à 100 VL",IF(AND(D60&gt;0,D60&lt;=100)," limité à "&amp;D60&amp;" VL",IF(D60&lt;0,"Hors limite","")))</f>
        <v/>
      </c>
      <c r="G60" s="588" t="s">
        <v>1074</v>
      </c>
    </row>
    <row r="61" spans="1:8" x14ac:dyDescent="0.25">
      <c r="A61" s="328" t="s">
        <v>1075</v>
      </c>
      <c r="B61" s="351">
        <f>IF($B$6="Oui",IF('2. VOS DONNEES'!G27="Oui",'2. VOS DONNEES'!A27,0),I6)</f>
        <v>0</v>
      </c>
      <c r="C61" s="352">
        <f>'2. VOS DONNEES'!E27*B61</f>
        <v>0</v>
      </c>
      <c r="D61" s="330">
        <f t="shared" si="6"/>
        <v>0</v>
      </c>
      <c r="E61" s="332">
        <f t="shared" si="7"/>
        <v>0</v>
      </c>
      <c r="F61" s="331" t="str">
        <f t="shared" si="8"/>
        <v/>
      </c>
      <c r="G61" s="208">
        <f>G59*$B$50</f>
        <v>0</v>
      </c>
    </row>
    <row r="62" spans="1:8" x14ac:dyDescent="0.25">
      <c r="A62" s="328" t="s">
        <v>1076</v>
      </c>
      <c r="B62" s="351">
        <f>IF($B$6="Oui",IF('2. VOS DONNEES'!G28="Oui",'2. VOS DONNEES'!A28,0),I7)</f>
        <v>0</v>
      </c>
      <c r="C62" s="352">
        <f>'2. VOS DONNEES'!E28*B62</f>
        <v>0</v>
      </c>
      <c r="D62" s="330">
        <f t="shared" si="6"/>
        <v>0</v>
      </c>
      <c r="E62" s="332">
        <f t="shared" si="7"/>
        <v>0</v>
      </c>
      <c r="F62" s="331" t="str">
        <f t="shared" si="8"/>
        <v/>
      </c>
      <c r="G62" s="588" t="s">
        <v>1077</v>
      </c>
    </row>
    <row r="63" spans="1:8" ht="15.75" thickBot="1" x14ac:dyDescent="0.3">
      <c r="A63" s="333" t="s">
        <v>1078</v>
      </c>
      <c r="B63" s="334">
        <f>SUM(B57:B62)</f>
        <v>0</v>
      </c>
      <c r="C63" s="356">
        <f>IF(SUM(C13:C18)&gt;100,"attention, somme supérieure à 100%",SUM(C13:C18))</f>
        <v>0</v>
      </c>
      <c r="D63" s="134">
        <f>SUM(D57:D62)</f>
        <v>0</v>
      </c>
      <c r="E63" s="335">
        <f>IF(B3="Oui",SUM(E57:E62),0)</f>
        <v>0</v>
      </c>
      <c r="G63" s="589">
        <f>MAX(G61,E63)</f>
        <v>0</v>
      </c>
      <c r="H63" s="614"/>
    </row>
    <row r="64" spans="1:8" ht="15.75" thickBot="1" x14ac:dyDescent="0.3"/>
    <row r="65" spans="1:15" ht="15.75" thickBot="1" x14ac:dyDescent="0.3">
      <c r="A65" s="1529" t="s">
        <v>1097</v>
      </c>
      <c r="B65" s="1530"/>
      <c r="C65" s="1530"/>
      <c r="D65" s="1530"/>
      <c r="E65" s="1530"/>
      <c r="F65" s="1531"/>
    </row>
    <row r="66" spans="1:15" x14ac:dyDescent="0.25">
      <c r="A66" s="30" t="s">
        <v>1098</v>
      </c>
    </row>
    <row r="67" spans="1:15" x14ac:dyDescent="0.25">
      <c r="A67" t="s">
        <v>1099</v>
      </c>
      <c r="B67" s="354">
        <f>'2. VOS DONNEES'!E124</f>
        <v>0</v>
      </c>
      <c r="C67" s="130" t="s">
        <v>1081</v>
      </c>
    </row>
    <row r="68" spans="1:15" x14ac:dyDescent="0.25">
      <c r="A68" s="322" t="s">
        <v>157</v>
      </c>
      <c r="B68" s="355">
        <f>'2. VOS DONNEES'!E125</f>
        <v>0</v>
      </c>
      <c r="D68" s="336" t="e">
        <f>B68/B67</f>
        <v>#DIV/0!</v>
      </c>
      <c r="E68" t="s">
        <v>1082</v>
      </c>
    </row>
    <row r="69" spans="1:15" x14ac:dyDescent="0.25">
      <c r="A69" s="244" t="s">
        <v>1100</v>
      </c>
      <c r="B69" s="324">
        <f>B68*1.33</f>
        <v>0</v>
      </c>
      <c r="C69" s="130" t="s">
        <v>1084</v>
      </c>
    </row>
    <row r="70" spans="1:15" ht="15.75" thickBot="1" x14ac:dyDescent="0.3">
      <c r="A70" t="s">
        <v>1085</v>
      </c>
      <c r="B70" s="355">
        <f>'2. VOS DONNEES'!E126</f>
        <v>0</v>
      </c>
    </row>
    <row r="71" spans="1:15" ht="15.75" thickBot="1" x14ac:dyDescent="0.3">
      <c r="A71" s="244" t="s">
        <v>1101</v>
      </c>
      <c r="B71" s="324">
        <f>B70*3</f>
        <v>0</v>
      </c>
      <c r="C71" s="130" t="s">
        <v>1087</v>
      </c>
      <c r="M71" s="6" t="s">
        <v>1272</v>
      </c>
      <c r="N71" s="7" t="s">
        <v>62</v>
      </c>
      <c r="O71" s="4" t="s">
        <v>642</v>
      </c>
    </row>
    <row r="72" spans="1:15" ht="15.75" thickBot="1" x14ac:dyDescent="0.3">
      <c r="A72" s="130" t="s">
        <v>1102</v>
      </c>
      <c r="B72" s="358">
        <f>IF(B4="non",0,MIN(B67,B69,B71))</f>
        <v>0</v>
      </c>
      <c r="C72" s="130" t="s">
        <v>1103</v>
      </c>
      <c r="M72" s="187" t="s">
        <v>27</v>
      </c>
      <c r="N72" s="270">
        <f>IF($B$4="Oui",IFERROR(VLOOKUP(M72,'2. VOS DONNEES'!$D$4:$E$283,2,FALSE),0),0)</f>
        <v>0</v>
      </c>
      <c r="O72" s="1532" t="s">
        <v>1033</v>
      </c>
    </row>
    <row r="73" spans="1:15" ht="15.75" thickBot="1" x14ac:dyDescent="0.3">
      <c r="A73" s="357" t="s">
        <v>1062</v>
      </c>
      <c r="B73">
        <v>178</v>
      </c>
      <c r="M73" s="115" t="s">
        <v>106</v>
      </c>
      <c r="N73" s="270">
        <f>IF($B$4="Oui",IFERROR(VLOOKUP(M73,'2. VOS DONNEES'!$D$4:$E$283,2,FALSE),0),0)</f>
        <v>0</v>
      </c>
      <c r="O73" s="1533"/>
    </row>
    <row r="74" spans="1:15" ht="30.75" thickBot="1" x14ac:dyDescent="0.3">
      <c r="M74" s="188" t="s">
        <v>107</v>
      </c>
      <c r="N74" s="270">
        <f>IF($B$4="Oui",IFERROR(VLOOKUP(M74,'2. VOS DONNEES'!$D$4:$E$283,2,FALSE),0),0)</f>
        <v>0</v>
      </c>
      <c r="O74" s="1533"/>
    </row>
    <row r="75" spans="1:15" ht="15.75" thickBot="1" x14ac:dyDescent="0.3">
      <c r="A75" s="30" t="s">
        <v>1090</v>
      </c>
      <c r="B75" t="str">
        <f>IF(B72&lt;10,"Pas assez d'animaux éligible","Seuil min. de 10 atteint")</f>
        <v>Pas assez d'animaux éligible</v>
      </c>
      <c r="M75" s="188" t="s">
        <v>108</v>
      </c>
      <c r="N75" s="270">
        <f>IF($B$4="Oui",IFERROR(VLOOKUP(M75,'2. VOS DONNEES'!$D$4:$E$283,2,FALSE),0),0)</f>
        <v>0</v>
      </c>
      <c r="O75" s="1533"/>
    </row>
    <row r="76" spans="1:15" ht="30.75" thickBot="1" x14ac:dyDescent="0.3">
      <c r="M76" s="188" t="s">
        <v>103</v>
      </c>
      <c r="N76" s="270">
        <f>IF($B$4="Oui",IFERROR(VLOOKUP(M76,'2. VOS DONNEES'!$D$4:$E$283,2,FALSE),0),0)</f>
        <v>0</v>
      </c>
      <c r="O76" s="1533"/>
    </row>
    <row r="77" spans="1:15" ht="15.75" thickBot="1" x14ac:dyDescent="0.3">
      <c r="A77" s="30" t="s">
        <v>1104</v>
      </c>
      <c r="M77" s="188" t="s">
        <v>644</v>
      </c>
      <c r="N77" s="270">
        <f>IF($B$4="Oui",IFERROR(VLOOKUP(M77,'2. VOS DONNEES'!$D$4:$E$283,2,FALSE),0),0)</f>
        <v>0</v>
      </c>
      <c r="O77" s="1533"/>
    </row>
    <row r="78" spans="1:15" ht="30.75" thickBot="1" x14ac:dyDescent="0.3">
      <c r="M78" s="188" t="s">
        <v>110</v>
      </c>
      <c r="N78" s="270">
        <f>IF($B$4="Oui",IFERROR(VLOOKUP(M78,'2. VOS DONNEES'!$D$4:$E$283,2,FALSE),0),0)</f>
        <v>0</v>
      </c>
      <c r="O78" s="1533"/>
    </row>
    <row r="79" spans="1:15" ht="15.75" thickBot="1" x14ac:dyDescent="0.3">
      <c r="A79" s="244" t="s">
        <v>1105</v>
      </c>
      <c r="B79" s="337">
        <f>N119</f>
        <v>99999999</v>
      </c>
      <c r="C79" s="357" t="str">
        <f>IF(B79&gt;5,"Il faut ajouter "&amp;'CALCUL - MAEC AF'!B47/5-'CALCUL - MAEC AF'!B53&amp;" ha de surface fourragère pour atteindre 5 UGB/ha","")</f>
        <v>Il faut ajouter 0 ha de surface fourragère pour atteindre 5 UGB/ha</v>
      </c>
      <c r="M79" s="188" t="s">
        <v>645</v>
      </c>
      <c r="N79" s="270">
        <f>IF($B$4="Oui",IFERROR(VLOOKUP(M79,'2. VOS DONNEES'!$D$4:$E$283,2,FALSE),0),0)</f>
        <v>0</v>
      </c>
      <c r="O79" s="1533"/>
    </row>
    <row r="80" spans="1:15" ht="15.75" thickBot="1" x14ac:dyDescent="0.3">
      <c r="A80" s="338" t="str">
        <f>IF(B79&lt;=5,"Pas de réduction","Application de la réduction")</f>
        <v>Application de la réduction</v>
      </c>
      <c r="B80" s="339">
        <f>IFERROR(IF(B79&gt;5,B72*(5/B79),B72),"")</f>
        <v>0</v>
      </c>
      <c r="M80" s="189" t="s">
        <v>109</v>
      </c>
      <c r="N80" s="270">
        <f>IF($B$4="Oui",IFERROR(VLOOKUP(M80,'2. VOS DONNEES'!$D$4:$E$283,2,FALSE),0),0)</f>
        <v>0</v>
      </c>
      <c r="O80" s="1533"/>
    </row>
    <row r="81" spans="1:15" ht="15.75" thickBot="1" x14ac:dyDescent="0.3">
      <c r="M81" s="189" t="s">
        <v>646</v>
      </c>
      <c r="N81" s="270">
        <f>IF($B$4="Oui",IFERROR(VLOOKUP(M81,'2. VOS DONNEES'!$D$4:$E$283,2,FALSE),0),0)</f>
        <v>0</v>
      </c>
      <c r="O81" s="1533"/>
    </row>
    <row r="82" spans="1:15" ht="15.75" thickBot="1" x14ac:dyDescent="0.3">
      <c r="A82" s="325" t="s">
        <v>1106</v>
      </c>
      <c r="B82" t="s">
        <v>1107</v>
      </c>
      <c r="M82" s="189" t="s">
        <v>79</v>
      </c>
      <c r="N82" s="270">
        <f>IF($B$4="Oui",IFERROR(VLOOKUP(M82,'2. VOS DONNEES'!$D$4:$E$283,2,FALSE),0),0)</f>
        <v>0</v>
      </c>
      <c r="O82" s="1533"/>
    </row>
    <row r="83" spans="1:15" ht="15.75" thickBot="1" x14ac:dyDescent="0.3">
      <c r="A83" s="325" t="s">
        <v>1088</v>
      </c>
      <c r="B83" s="340">
        <f>IF(B80&gt;=10,B80,0)</f>
        <v>0</v>
      </c>
      <c r="M83" s="189" t="s">
        <v>647</v>
      </c>
      <c r="N83" s="270">
        <f>IF($B$4="Oui",IFERROR(VLOOKUP(M83,'2. VOS DONNEES'!$D$4:$E$283,2,FALSE),0),0)</f>
        <v>0</v>
      </c>
      <c r="O83" s="1533"/>
    </row>
    <row r="84" spans="1:15" ht="15.75" thickBot="1" x14ac:dyDescent="0.3">
      <c r="A84" s="328"/>
      <c r="B84" s="329" t="s">
        <v>973</v>
      </c>
      <c r="C84" t="s">
        <v>1065</v>
      </c>
      <c r="D84" s="330" t="s">
        <v>1108</v>
      </c>
      <c r="E84" s="341" t="s">
        <v>1109</v>
      </c>
      <c r="F84" s="331"/>
      <c r="M84" s="189" t="s">
        <v>648</v>
      </c>
      <c r="N84" s="270">
        <f>IF($B$4="Oui",IFERROR(VLOOKUP(M84,'2. VOS DONNEES'!$D$4:$E$283,2,FALSE),0),0)</f>
        <v>0</v>
      </c>
      <c r="O84" s="1533"/>
    </row>
    <row r="85" spans="1:15" ht="30.75" thickBot="1" x14ac:dyDescent="0.3">
      <c r="A85" s="328" t="s">
        <v>1068</v>
      </c>
      <c r="B85" s="351">
        <f>IF($B$6="Oui",IF('2. VOS DONNEES'!G23="Oui",'2. VOS DONNEES'!A23,0),I2)</f>
        <v>0</v>
      </c>
      <c r="C85" s="352">
        <f>'2. VOS DONNEES'!E23*B85</f>
        <v>0</v>
      </c>
      <c r="D85" s="330">
        <f>IF(C85&gt;0,$B$83*C85/100,)</f>
        <v>0</v>
      </c>
      <c r="E85" s="342" t="str">
        <f t="shared" ref="E85:E90" si="9">IF(D85&gt;145,145,IF(AND(D85&gt;0,D85&lt;=145),D85,""))</f>
        <v/>
      </c>
      <c r="F85" s="331" t="str">
        <f>IF(D85=0,"",IF(D85&gt;145,"Limité à 145 VV",IF(AND(D85&gt;0,D85&lt;=145),ROUND(D85,0)&amp;" VV admises",IF(D85&lt;10,"Hors limite",""))))</f>
        <v/>
      </c>
      <c r="G85" s="590" t="s">
        <v>1069</v>
      </c>
      <c r="M85" s="190" t="s">
        <v>113</v>
      </c>
      <c r="N85" s="270">
        <f>IF($B$4="Oui",IFERROR(VLOOKUP(M85,'2. VOS DONNEES'!$D$4:$E$283,2,FALSE),0),0)</f>
        <v>0</v>
      </c>
      <c r="O85" s="1533"/>
    </row>
    <row r="86" spans="1:15" ht="30.75" thickBot="1" x14ac:dyDescent="0.3">
      <c r="A86" s="328" t="s">
        <v>1070</v>
      </c>
      <c r="B86" s="351">
        <f>IF($B$6="Oui",IF('2. VOS DONNEES'!G24="Oui",'2. VOS DONNEES'!A24,0),I3)</f>
        <v>0</v>
      </c>
      <c r="C86" s="352">
        <f>'2. VOS DONNEES'!E24*B86</f>
        <v>0</v>
      </c>
      <c r="D86" s="330">
        <f t="shared" ref="D86:D89" si="10">IF(C86&gt;0,$B$83*C86/100,)</f>
        <v>0</v>
      </c>
      <c r="E86" s="342" t="str">
        <f t="shared" si="9"/>
        <v/>
      </c>
      <c r="F86" s="331" t="str">
        <f t="shared" ref="F86:F90" si="11">IF(D86=0,"",IF(D86&gt;145,"Limité à 145 VV",IF(AND(D86&gt;0,D86&lt;=145),ROUND(D86,0)&amp;" VV admises",IF(D86&lt;10,"Hors limite",""))))</f>
        <v/>
      </c>
      <c r="G86" s="583" t="s">
        <v>1071</v>
      </c>
      <c r="M86" s="191" t="s">
        <v>649</v>
      </c>
      <c r="N86" s="270">
        <f>IF($B$4="Oui",IFERROR(VLOOKUP(M86,'2. VOS DONNEES'!$D$4:$E$283,2,FALSE),0),0)</f>
        <v>0</v>
      </c>
      <c r="O86" s="1534"/>
    </row>
    <row r="87" spans="1:15" ht="15.75" thickBot="1" x14ac:dyDescent="0.3">
      <c r="A87" s="328" t="s">
        <v>1072</v>
      </c>
      <c r="B87" s="351">
        <f>IF($B$6="Oui",IF('2. VOS DONNEES'!G25="Oui",'2. VOS DONNEES'!A25,0),I4)</f>
        <v>0</v>
      </c>
      <c r="C87" s="352">
        <f>'2. VOS DONNEES'!E25*B87</f>
        <v>0</v>
      </c>
      <c r="D87" s="330">
        <f>IF(C87&gt;0,$B$83*C87/100,)</f>
        <v>0</v>
      </c>
      <c r="E87" s="342" t="str">
        <f t="shared" si="9"/>
        <v/>
      </c>
      <c r="F87" s="331" t="str">
        <f t="shared" si="11"/>
        <v/>
      </c>
      <c r="G87" s="84">
        <f>MIN(B83,145)</f>
        <v>0</v>
      </c>
    </row>
    <row r="88" spans="1:15" ht="30.75" thickBot="1" x14ac:dyDescent="0.3">
      <c r="A88" s="328" t="s">
        <v>1073</v>
      </c>
      <c r="B88" s="351">
        <f>IF($B$6="Oui",IF('2. VOS DONNEES'!G26="Oui",'2. VOS DONNEES'!A26,0),I5)</f>
        <v>0</v>
      </c>
      <c r="C88" s="352">
        <f>'2. VOS DONNEES'!E26*B88</f>
        <v>0</v>
      </c>
      <c r="D88" s="330">
        <f t="shared" si="10"/>
        <v>0</v>
      </c>
      <c r="E88" s="342" t="str">
        <f t="shared" si="9"/>
        <v/>
      </c>
      <c r="F88" s="331" t="str">
        <f t="shared" si="11"/>
        <v/>
      </c>
      <c r="G88" s="583" t="s">
        <v>1074</v>
      </c>
      <c r="M88" s="186" t="s">
        <v>650</v>
      </c>
      <c r="N88" s="271">
        <f>IF(B4="Oui",IFERROR(VLOOKUP(M88,'2. VOS DONNEES'!$D$6:$E$14,2,FALSE),0),0)</f>
        <v>0</v>
      </c>
    </row>
    <row r="89" spans="1:15" ht="15.75" thickBot="1" x14ac:dyDescent="0.3">
      <c r="A89" s="328" t="s">
        <v>1075</v>
      </c>
      <c r="B89" s="351">
        <f>IF($B$6="Oui",IF('2. VOS DONNEES'!G27="Oui",'2. VOS DONNEES'!A27,0),I6)</f>
        <v>0</v>
      </c>
      <c r="C89" s="352">
        <f>'2. VOS DONNEES'!E27*B89</f>
        <v>0</v>
      </c>
      <c r="D89" s="330">
        <f t="shared" si="10"/>
        <v>0</v>
      </c>
      <c r="E89" s="342" t="str">
        <f t="shared" si="9"/>
        <v/>
      </c>
      <c r="F89" s="331" t="str">
        <f t="shared" si="11"/>
        <v/>
      </c>
      <c r="G89">
        <f>G87*$B$73</f>
        <v>0</v>
      </c>
    </row>
    <row r="90" spans="1:15" ht="15.75" thickBot="1" x14ac:dyDescent="0.3">
      <c r="A90" s="328" t="s">
        <v>1076</v>
      </c>
      <c r="B90" s="351">
        <f>IF($B$6="Oui",IF('2. VOS DONNEES'!G28="Oui",'2. VOS DONNEES'!A28,0),I7)</f>
        <v>0</v>
      </c>
      <c r="C90" s="352">
        <f>'2. VOS DONNEES'!E28*B90</f>
        <v>0</v>
      </c>
      <c r="D90" s="330">
        <f>IF(C90&gt;0,$B$83*C90/100,)</f>
        <v>0</v>
      </c>
      <c r="E90" s="342" t="str">
        <f t="shared" si="9"/>
        <v/>
      </c>
      <c r="F90" s="331" t="str">
        <f t="shared" si="11"/>
        <v/>
      </c>
      <c r="G90" s="583" t="s">
        <v>1077</v>
      </c>
      <c r="M90" s="49" t="s">
        <v>651</v>
      </c>
      <c r="N90" s="272">
        <f>SUM(N72:N86)</f>
        <v>0</v>
      </c>
      <c r="O90" s="50" t="s">
        <v>1033</v>
      </c>
    </row>
    <row r="91" spans="1:15" ht="30.75" thickBot="1" x14ac:dyDescent="0.3">
      <c r="A91" s="333" t="s">
        <v>1078</v>
      </c>
      <c r="B91" s="334">
        <f>SUM(B85:B90)</f>
        <v>0</v>
      </c>
      <c r="C91" s="353">
        <f>IF(SUM(C13:C18)&gt;100,"attention, somme supérieure à 100%",SUM(C13:C18))</f>
        <v>0</v>
      </c>
      <c r="D91" s="134">
        <f>SUM(D85:D90)</f>
        <v>0</v>
      </c>
      <c r="E91" s="232">
        <f>SUM(E85:E90)</f>
        <v>0</v>
      </c>
      <c r="F91" s="335">
        <f>IF(B4="Oui",E91*B73,0)</f>
        <v>0</v>
      </c>
      <c r="G91" s="584">
        <f>MAX(G89,F91)</f>
        <v>0</v>
      </c>
      <c r="H91" s="614"/>
      <c r="M91" s="49" t="s">
        <v>652</v>
      </c>
      <c r="N91" s="272">
        <f>N90+N88</f>
        <v>0</v>
      </c>
      <c r="O91" s="50" t="s">
        <v>1033</v>
      </c>
    </row>
    <row r="92" spans="1:15" ht="15.75" thickBot="1" x14ac:dyDescent="0.3">
      <c r="E92" s="232"/>
    </row>
    <row r="93" spans="1:15" ht="15.75" thickBot="1" x14ac:dyDescent="0.3">
      <c r="M93" s="439" t="s">
        <v>653</v>
      </c>
      <c r="N93" s="6" t="s">
        <v>62</v>
      </c>
      <c r="O93" s="242" t="s">
        <v>642</v>
      </c>
    </row>
    <row r="94" spans="1:15" ht="15.75" thickBot="1" x14ac:dyDescent="0.3">
      <c r="A94" s="343" t="s">
        <v>1110</v>
      </c>
      <c r="B94" s="344">
        <f>G91+G63+G41+G19</f>
        <v>0</v>
      </c>
      <c r="M94" s="65" t="s">
        <v>127</v>
      </c>
      <c r="N94" s="273">
        <f>IF($B$4="Oui",VLOOKUP(M94,'2. VOS DONNEES'!$D$103:$E$110,2,FALSE),0)</f>
        <v>0</v>
      </c>
      <c r="O94" s="1535" t="s">
        <v>63</v>
      </c>
    </row>
    <row r="95" spans="1:15" ht="15.75" thickBot="1" x14ac:dyDescent="0.3">
      <c r="M95" s="65" t="s">
        <v>128</v>
      </c>
      <c r="N95" s="273">
        <f>IF($B$4="Oui",VLOOKUP(M95,'2. VOS DONNEES'!$D$103:$E$110,2,FALSE),0)</f>
        <v>0</v>
      </c>
      <c r="O95" s="1536"/>
    </row>
    <row r="96" spans="1:15" ht="15.75" thickBot="1" x14ac:dyDescent="0.3">
      <c r="M96" s="65" t="s">
        <v>130</v>
      </c>
      <c r="N96" s="273">
        <f>IF($B$4="Oui",VLOOKUP(M96,'2. VOS DONNEES'!$D$103:$E$110,2,FALSE),0)</f>
        <v>0</v>
      </c>
      <c r="O96" s="1536"/>
    </row>
    <row r="97" spans="13:20" ht="15.75" thickBot="1" x14ac:dyDescent="0.3">
      <c r="M97" s="65" t="s">
        <v>131</v>
      </c>
      <c r="N97" s="273">
        <f>IF($B$4="Oui",VLOOKUP(M97,'2. VOS DONNEES'!$D$103:$E$110,2,FALSE),0)</f>
        <v>0</v>
      </c>
      <c r="O97" s="1536"/>
    </row>
    <row r="98" spans="13:20" ht="15.75" thickBot="1" x14ac:dyDescent="0.3">
      <c r="M98" s="65" t="s">
        <v>132</v>
      </c>
      <c r="N98" s="273">
        <f>IF($B$4="Oui",VLOOKUP(M98,'2. VOS DONNEES'!$D$103:$E$110,2,FALSE),0)</f>
        <v>0</v>
      </c>
      <c r="O98" s="1536"/>
    </row>
    <row r="99" spans="13:20" ht="15.75" thickBot="1" x14ac:dyDescent="0.3">
      <c r="M99" s="65" t="s">
        <v>134</v>
      </c>
      <c r="N99" s="273">
        <f>IF($B$4="Oui",VLOOKUP(M99,'2. VOS DONNEES'!$D$103:$E$110,2,FALSE),0)</f>
        <v>0</v>
      </c>
      <c r="O99" s="1536"/>
    </row>
    <row r="100" spans="13:20" ht="15.75" thickBot="1" x14ac:dyDescent="0.3">
      <c r="M100" s="435" t="s">
        <v>136</v>
      </c>
      <c r="N100" s="273">
        <f>IF($B$4="Oui",VLOOKUP(M100,'2. VOS DONNEES'!$D$103:$E$110,2,FALSE),0)</f>
        <v>0</v>
      </c>
      <c r="O100" s="1536"/>
    </row>
    <row r="101" spans="13:20" ht="15.75" thickBot="1" x14ac:dyDescent="0.3">
      <c r="M101" s="293" t="s">
        <v>138</v>
      </c>
      <c r="N101" s="273">
        <f>IF($B$4="Oui",VLOOKUP(M101,'2. VOS DONNEES'!$D$103:$E$110,2,FALSE),0)</f>
        <v>0</v>
      </c>
      <c r="O101" s="1537"/>
    </row>
    <row r="102" spans="13:20" ht="15.75" thickBot="1" x14ac:dyDescent="0.3">
      <c r="Q102" s="56" t="s">
        <v>654</v>
      </c>
    </row>
    <row r="103" spans="13:20" ht="15.75" thickBot="1" x14ac:dyDescent="0.3">
      <c r="M103" s="7" t="s">
        <v>654</v>
      </c>
      <c r="N103" s="57"/>
      <c r="O103" s="299"/>
      <c r="Q103" s="430" t="s">
        <v>656</v>
      </c>
      <c r="R103" s="431" t="s">
        <v>657</v>
      </c>
      <c r="S103" s="432" t="s">
        <v>658</v>
      </c>
      <c r="T103" s="433" t="s">
        <v>659</v>
      </c>
    </row>
    <row r="104" spans="13:20" ht="16.5" thickBot="1" x14ac:dyDescent="0.3">
      <c r="M104" s="428" t="s">
        <v>127</v>
      </c>
      <c r="N104" s="274">
        <f>VLOOKUP(M104,$Q$103:$T$111,4,FALSE)</f>
        <v>0</v>
      </c>
      <c r="O104" s="1532" t="s">
        <v>655</v>
      </c>
      <c r="Q104" s="65" t="s">
        <v>127</v>
      </c>
      <c r="R104" s="268">
        <f>VLOOKUP(Q104,'2. VOS DONNEES'!$D$103:$E$110,2,FALSE)</f>
        <v>0</v>
      </c>
      <c r="S104" s="185">
        <v>1</v>
      </c>
      <c r="T104" s="434">
        <f>R104*S104</f>
        <v>0</v>
      </c>
    </row>
    <row r="105" spans="13:20" ht="16.5" thickBot="1" x14ac:dyDescent="0.3">
      <c r="M105" s="428" t="s">
        <v>128</v>
      </c>
      <c r="N105" s="274">
        <f t="shared" ref="N105:N111" si="12">VLOOKUP(M105,$Q$103:$T$111,4,FALSE)</f>
        <v>0</v>
      </c>
      <c r="O105" s="1533"/>
      <c r="Q105" s="65" t="s">
        <v>128</v>
      </c>
      <c r="R105" s="268">
        <f>VLOOKUP(Q105,'2. VOS DONNEES'!$D$103:$E$110,2,FALSE)</f>
        <v>0</v>
      </c>
      <c r="S105" s="185">
        <v>1</v>
      </c>
      <c r="T105" s="434">
        <f>R105*S105</f>
        <v>0</v>
      </c>
    </row>
    <row r="106" spans="13:20" ht="16.5" thickBot="1" x14ac:dyDescent="0.3">
      <c r="M106" s="428" t="s">
        <v>130</v>
      </c>
      <c r="N106" s="274">
        <f t="shared" si="12"/>
        <v>0</v>
      </c>
      <c r="O106" s="1533"/>
      <c r="Q106" s="65" t="s">
        <v>130</v>
      </c>
      <c r="R106" s="268">
        <f>VLOOKUP(Q106,'2. VOS DONNEES'!$D$103:$E$110,2,FALSE)</f>
        <v>0</v>
      </c>
      <c r="S106" s="185">
        <v>0.8</v>
      </c>
      <c r="T106" s="434">
        <f t="shared" ref="T106:T111" si="13">R106*S106</f>
        <v>0</v>
      </c>
    </row>
    <row r="107" spans="13:20" ht="16.5" thickBot="1" x14ac:dyDescent="0.3">
      <c r="M107" s="428" t="s">
        <v>131</v>
      </c>
      <c r="N107" s="274">
        <f t="shared" si="12"/>
        <v>0</v>
      </c>
      <c r="O107" s="1533"/>
      <c r="Q107" s="65" t="s">
        <v>131</v>
      </c>
      <c r="R107" s="268">
        <f>VLOOKUP(Q107,'2. VOS DONNEES'!$D$103:$E$110,2,FALSE)</f>
        <v>0</v>
      </c>
      <c r="S107" s="185">
        <v>0.7</v>
      </c>
      <c r="T107" s="434">
        <f t="shared" si="13"/>
        <v>0</v>
      </c>
    </row>
    <row r="108" spans="13:20" ht="16.5" thickBot="1" x14ac:dyDescent="0.3">
      <c r="M108" s="428" t="s">
        <v>132</v>
      </c>
      <c r="N108" s="274">
        <f t="shared" si="12"/>
        <v>0</v>
      </c>
      <c r="O108" s="1533"/>
      <c r="Q108" s="65" t="s">
        <v>132</v>
      </c>
      <c r="R108" s="268">
        <f>VLOOKUP(Q108,'2. VOS DONNEES'!$D$103:$E$110,2,FALSE)</f>
        <v>0</v>
      </c>
      <c r="S108" s="185">
        <v>0.4</v>
      </c>
      <c r="T108" s="434">
        <f t="shared" si="13"/>
        <v>0</v>
      </c>
    </row>
    <row r="109" spans="13:20" ht="16.5" thickBot="1" x14ac:dyDescent="0.3">
      <c r="M109" s="428" t="s">
        <v>134</v>
      </c>
      <c r="N109" s="274">
        <f t="shared" si="12"/>
        <v>0</v>
      </c>
      <c r="O109" s="1533"/>
      <c r="Q109" s="65" t="s">
        <v>134</v>
      </c>
      <c r="R109" s="268">
        <f>VLOOKUP(Q109,'2. VOS DONNEES'!$D$103:$E$110,2,FALSE)</f>
        <v>0</v>
      </c>
      <c r="S109" s="185">
        <v>0.1</v>
      </c>
      <c r="T109" s="434">
        <f t="shared" si="13"/>
        <v>0</v>
      </c>
    </row>
    <row r="110" spans="13:20" ht="16.5" thickBot="1" x14ac:dyDescent="0.3">
      <c r="M110" s="428" t="s">
        <v>136</v>
      </c>
      <c r="N110" s="274">
        <f t="shared" si="12"/>
        <v>0</v>
      </c>
      <c r="O110" s="1533"/>
      <c r="Q110" s="435" t="s">
        <v>136</v>
      </c>
      <c r="R110" s="268">
        <f>VLOOKUP(Q110,'2. VOS DONNEES'!$D$103:$E$110,2,FALSE)</f>
        <v>0</v>
      </c>
      <c r="S110" s="185">
        <v>0.8</v>
      </c>
      <c r="T110" s="434">
        <f t="shared" si="13"/>
        <v>0</v>
      </c>
    </row>
    <row r="111" spans="13:20" ht="16.5" thickBot="1" x14ac:dyDescent="0.3">
      <c r="M111" s="429" t="s">
        <v>138</v>
      </c>
      <c r="N111" s="274">
        <f t="shared" si="12"/>
        <v>0</v>
      </c>
      <c r="O111" s="1534"/>
      <c r="Q111" s="293" t="s">
        <v>138</v>
      </c>
      <c r="R111" s="436">
        <f>VLOOKUP(Q111,'2. VOS DONNEES'!$D$103:$E$110,2,FALSE)</f>
        <v>0</v>
      </c>
      <c r="S111" s="437">
        <v>0.2</v>
      </c>
      <c r="T111" s="438">
        <f t="shared" si="13"/>
        <v>0</v>
      </c>
    </row>
    <row r="112" spans="13:20" ht="15.75" thickBot="1" x14ac:dyDescent="0.3"/>
    <row r="113" spans="13:15" ht="16.5" thickBot="1" x14ac:dyDescent="0.3">
      <c r="M113" s="53" t="s">
        <v>1273</v>
      </c>
      <c r="N113" s="184">
        <f>SUM(N104:N111)</f>
        <v>0</v>
      </c>
      <c r="O113" s="34" t="s">
        <v>655</v>
      </c>
    </row>
    <row r="114" spans="13:15" ht="15.75" thickBot="1" x14ac:dyDescent="0.3"/>
    <row r="115" spans="13:15" ht="15.75" thickBot="1" x14ac:dyDescent="0.3">
      <c r="M115" s="158" t="s">
        <v>1260</v>
      </c>
    </row>
    <row r="116" spans="13:15" ht="15.75" thickBot="1" x14ac:dyDescent="0.3">
      <c r="M116" s="6" t="s">
        <v>1274</v>
      </c>
      <c r="N116" s="6" t="s">
        <v>62</v>
      </c>
      <c r="O116" s="4" t="s">
        <v>642</v>
      </c>
    </row>
    <row r="117" spans="13:15" ht="15.75" thickBot="1" x14ac:dyDescent="0.3"/>
    <row r="118" spans="13:15" ht="15.75" thickBot="1" x14ac:dyDescent="0.3">
      <c r="M118" s="46" t="s">
        <v>421</v>
      </c>
    </row>
    <row r="119" spans="13:15" ht="15.75" thickBot="1" x14ac:dyDescent="0.3">
      <c r="M119" s="14" t="s">
        <v>1275</v>
      </c>
      <c r="N119" s="275">
        <f>IFERROR(N113/N91,99999999)</f>
        <v>99999999</v>
      </c>
      <c r="O119" s="14" t="s">
        <v>663</v>
      </c>
    </row>
    <row r="120" spans="13:15" ht="15.75" thickBot="1" x14ac:dyDescent="0.3">
      <c r="M120" s="47"/>
      <c r="N120" s="14"/>
      <c r="O120" s="14"/>
    </row>
  </sheetData>
  <sheetProtection sheet="1" objects="1" scenarios="1"/>
  <mergeCells count="7">
    <mergeCell ref="A8:F8"/>
    <mergeCell ref="O72:O86"/>
    <mergeCell ref="O94:O101"/>
    <mergeCell ref="O104:O111"/>
    <mergeCell ref="A21:F21"/>
    <mergeCell ref="A42:F42"/>
    <mergeCell ref="A65:F65"/>
  </mergeCells>
  <phoneticPr fontId="7" type="noConversion"/>
  <pageMargins left="0.7" right="0.7" top="0.75" bottom="0.75" header="0.3" footer="0.3"/>
  <pageSetup paperSize="9" orientation="portrait" r:id="rId1"/>
  <drawing r:id="rId2"/>
  <legacyDrawing r:id="rId3"/>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D4AEF99-0204-4188-B1F7-146E35D87FF8}">
  <sheetPr codeName="Feuil15"/>
  <dimension ref="A1:C23"/>
  <sheetViews>
    <sheetView workbookViewId="0">
      <selection activeCell="E123" sqref="E123"/>
    </sheetView>
  </sheetViews>
  <sheetFormatPr baseColWidth="10" defaultColWidth="11.42578125" defaultRowHeight="15" x14ac:dyDescent="0.25"/>
  <cols>
    <col min="1" max="1" width="90.7109375" customWidth="1"/>
    <col min="2" max="2" width="20.7109375" customWidth="1"/>
  </cols>
  <sheetData>
    <row r="1" spans="1:3" ht="69.599999999999994" customHeight="1" x14ac:dyDescent="0.25">
      <c r="A1" s="1" t="s">
        <v>1111</v>
      </c>
    </row>
    <row r="3" spans="1:3" ht="15.75" thickBot="1" x14ac:dyDescent="0.3"/>
    <row r="4" spans="1:3" ht="15.75" thickBot="1" x14ac:dyDescent="0.3">
      <c r="A4" s="55" t="s">
        <v>1112</v>
      </c>
      <c r="B4" s="246" t="str">
        <f>'2. VOS DONNEES'!E137</f>
        <v>OUI</v>
      </c>
    </row>
    <row r="5" spans="1:3" ht="15.75" thickBot="1" x14ac:dyDescent="0.3">
      <c r="A5" s="150" t="s">
        <v>1113</v>
      </c>
      <c r="B5" s="247" t="s">
        <v>62</v>
      </c>
      <c r="C5" s="151" t="s">
        <v>642</v>
      </c>
    </row>
    <row r="6" spans="1:3" ht="15.75" thickBot="1" x14ac:dyDescent="0.3">
      <c r="A6" s="147" t="s">
        <v>786</v>
      </c>
      <c r="B6" s="160">
        <f>IF(B$4="Oui",IFERROR(VLOOKUP(A6,'2. VOS DONNEES'!$D$4:$E$283,2,FALSE),0),0)</f>
        <v>0</v>
      </c>
      <c r="C6" s="1532" t="s">
        <v>1033</v>
      </c>
    </row>
    <row r="7" spans="1:3" ht="15.75" thickBot="1" x14ac:dyDescent="0.3">
      <c r="A7" s="147" t="s">
        <v>784</v>
      </c>
      <c r="B7" s="160">
        <f>IF(B$4="Oui",IFERROR(VLOOKUP(A7,'2. VOS DONNEES'!$D$4:$E$283,2,FALSE),0),0)</f>
        <v>0</v>
      </c>
      <c r="C7" s="1533"/>
    </row>
    <row r="8" spans="1:3" ht="15.75" thickBot="1" x14ac:dyDescent="0.3">
      <c r="A8" s="147" t="s">
        <v>785</v>
      </c>
      <c r="B8" s="160">
        <f>IF(B$4="Oui",IFERROR(VLOOKUP(A8,'2. VOS DONNEES'!$D$4:$E$283,2,FALSE),0),0)</f>
        <v>0</v>
      </c>
      <c r="C8" s="1533"/>
    </row>
    <row r="9" spans="1:3" ht="15.75" thickBot="1" x14ac:dyDescent="0.3">
      <c r="A9" s="147" t="s">
        <v>85</v>
      </c>
      <c r="B9" s="160">
        <f>IF(B$4="Oui",IFERROR(VLOOKUP(A9,'2. VOS DONNEES'!$D$4:$E$283,2,FALSE),0),0)</f>
        <v>0</v>
      </c>
      <c r="C9" s="1533"/>
    </row>
    <row r="10" spans="1:3" ht="15.75" thickBot="1" x14ac:dyDescent="0.3">
      <c r="A10" s="147" t="s">
        <v>787</v>
      </c>
      <c r="B10" s="160">
        <f>IF(B$4="Oui",IFERROR(VLOOKUP(A10,'2. VOS DONNEES'!$D$4:$E$283,2,FALSE),0),0)</f>
        <v>0</v>
      </c>
      <c r="C10" s="1533"/>
    </row>
    <row r="11" spans="1:3" ht="17.45" customHeight="1" thickBot="1" x14ac:dyDescent="0.3">
      <c r="A11" s="148" t="s">
        <v>86</v>
      </c>
      <c r="B11" s="160">
        <f>IF(B$4="Oui",IFERROR(VLOOKUP(A11,'2. VOS DONNEES'!$D$4:$E$283,2,FALSE),0),0)</f>
        <v>0</v>
      </c>
      <c r="C11" s="1533"/>
    </row>
    <row r="12" spans="1:3" ht="17.45" customHeight="1" thickBot="1" x14ac:dyDescent="0.3">
      <c r="A12" s="148" t="s">
        <v>87</v>
      </c>
      <c r="B12" s="160">
        <f>IF(B$4="Oui",IFERROR(VLOOKUP(A12,'2. VOS DONNEES'!$D$4:$E$283,2,FALSE),0),0)</f>
        <v>0</v>
      </c>
      <c r="C12" s="1533"/>
    </row>
    <row r="13" spans="1:3" ht="15.75" thickBot="1" x14ac:dyDescent="0.3">
      <c r="A13" s="147" t="s">
        <v>84</v>
      </c>
      <c r="B13" s="160">
        <f>IF(B$4="Oui",IFERROR(VLOOKUP(A13,'2. VOS DONNEES'!$D$4:$E$283,2,FALSE),0),0)</f>
        <v>0</v>
      </c>
      <c r="C13" s="1533"/>
    </row>
    <row r="14" spans="1:3" ht="15.75" thickBot="1" x14ac:dyDescent="0.3">
      <c r="A14" s="147" t="s">
        <v>788</v>
      </c>
      <c r="B14" s="160">
        <f>IF(B$4="Oui",IFERROR(VLOOKUP(A14,'2. VOS DONNEES'!$D$4:$E$283,2,FALSE),0),0)</f>
        <v>0</v>
      </c>
      <c r="C14" s="1533"/>
    </row>
    <row r="15" spans="1:3" ht="15.75" thickBot="1" x14ac:dyDescent="0.3">
      <c r="A15" s="147" t="s">
        <v>789</v>
      </c>
      <c r="B15" s="160">
        <f>IF(B$4="Oui",IFERROR(VLOOKUP(A15,'2. VOS DONNEES'!$D$4:$E$283,2,FALSE),0),0)</f>
        <v>0</v>
      </c>
      <c r="C15" s="1533"/>
    </row>
    <row r="16" spans="1:3" ht="15.75" thickBot="1" x14ac:dyDescent="0.3">
      <c r="A16" s="147" t="s">
        <v>783</v>
      </c>
      <c r="B16" s="160">
        <f>IF(B$4="Oui",IFERROR(VLOOKUP(A16,'2. VOS DONNEES'!$D$4:$E$283,2,FALSE),0),0)</f>
        <v>0</v>
      </c>
      <c r="C16" s="1534"/>
    </row>
    <row r="17" spans="1:3" ht="15.75" thickBot="1" x14ac:dyDescent="0.3"/>
    <row r="18" spans="1:3" ht="15.75" thickBot="1" x14ac:dyDescent="0.3">
      <c r="A18" s="49" t="s">
        <v>651</v>
      </c>
      <c r="B18" s="248">
        <f>SUM(B6:B16)</f>
        <v>0</v>
      </c>
      <c r="C18" s="50" t="s">
        <v>1033</v>
      </c>
    </row>
    <row r="19" spans="1:3" ht="10.15" customHeight="1" thickBot="1" x14ac:dyDescent="0.3"/>
    <row r="20" spans="1:3" ht="15.75" thickBot="1" x14ac:dyDescent="0.3">
      <c r="A20" s="8" t="s">
        <v>1114</v>
      </c>
      <c r="B20" s="8">
        <v>375</v>
      </c>
      <c r="C20" s="9" t="s">
        <v>1115</v>
      </c>
    </row>
    <row r="21" spans="1:3" ht="15.75" thickBot="1" x14ac:dyDescent="0.3"/>
    <row r="22" spans="1:3" ht="15.75" thickBot="1" x14ac:dyDescent="0.3">
      <c r="A22" s="14" t="s">
        <v>659</v>
      </c>
    </row>
    <row r="23" spans="1:3" ht="15.75" thickBot="1" x14ac:dyDescent="0.3">
      <c r="A23" s="14" t="s">
        <v>1116</v>
      </c>
      <c r="B23" s="249">
        <f>B18*B20</f>
        <v>0</v>
      </c>
      <c r="C23" s="8" t="s">
        <v>1115</v>
      </c>
    </row>
  </sheetData>
  <sheetProtection sheet="1" objects="1" scenarios="1"/>
  <mergeCells count="1">
    <mergeCell ref="C6:C16"/>
  </mergeCells>
  <pageMargins left="0.7" right="0.7" top="0.75" bottom="0.75" header="0.3" footer="0.3"/>
  <pageSetup paperSize="9" orientation="portrait" r:id="rId1"/>
  <legacyDrawing r:id="rId2"/>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25FCE31-BE75-4A36-B179-514B930F170E}">
  <sheetPr codeName="Feuil5">
    <pageSetUpPr fitToPage="1"/>
  </sheetPr>
  <dimension ref="B1:P107"/>
  <sheetViews>
    <sheetView zoomScale="60" zoomScaleNormal="60" workbookViewId="0">
      <selection activeCell="A35" sqref="A35"/>
    </sheetView>
  </sheetViews>
  <sheetFormatPr baseColWidth="10" defaultColWidth="11.42578125" defaultRowHeight="15" x14ac:dyDescent="0.25"/>
  <cols>
    <col min="2" max="2" width="77.5703125" customWidth="1"/>
    <col min="3" max="4" width="25.140625" customWidth="1"/>
    <col min="5" max="5" width="34" style="2" customWidth="1"/>
    <col min="6" max="6" width="10.5703125" customWidth="1"/>
    <col min="7" max="7" width="34.28515625" customWidth="1"/>
    <col min="8" max="8" width="11.42578125" customWidth="1"/>
    <col min="10" max="10" width="62.85546875" customWidth="1"/>
    <col min="11" max="11" width="16.28515625" customWidth="1"/>
    <col min="12" max="12" width="17" customWidth="1"/>
    <col min="13" max="13" width="49.42578125" customWidth="1"/>
    <col min="14" max="14" width="79.5703125" customWidth="1"/>
    <col min="15" max="15" width="12.28515625" customWidth="1"/>
    <col min="16" max="16" width="24.85546875" customWidth="1"/>
  </cols>
  <sheetData>
    <row r="1" spans="2:15" ht="38.25" thickBot="1" x14ac:dyDescent="0.3">
      <c r="B1" s="1" t="s">
        <v>1117</v>
      </c>
      <c r="J1" s="33" t="s">
        <v>1118</v>
      </c>
      <c r="K1" s="33" t="s">
        <v>915</v>
      </c>
      <c r="L1" s="33" t="s">
        <v>1119</v>
      </c>
      <c r="M1" s="33" t="s">
        <v>1120</v>
      </c>
      <c r="N1" s="33" t="s">
        <v>1121</v>
      </c>
    </row>
    <row r="2" spans="2:15" ht="24.75" thickBot="1" x14ac:dyDescent="0.4">
      <c r="B2" s="680" t="s">
        <v>1122</v>
      </c>
      <c r="C2" s="681"/>
      <c r="D2" s="682"/>
      <c r="J2" s="890" t="s">
        <v>1123</v>
      </c>
      <c r="K2" s="891">
        <v>610</v>
      </c>
      <c r="L2" s="891" t="s">
        <v>1124</v>
      </c>
      <c r="M2" s="890" t="s">
        <v>1125</v>
      </c>
      <c r="N2" s="914" t="s">
        <v>27</v>
      </c>
    </row>
    <row r="3" spans="2:15" ht="24.75" thickBot="1" x14ac:dyDescent="0.3">
      <c r="B3" s="6" t="s">
        <v>1029</v>
      </c>
      <c r="C3" s="7" t="s">
        <v>62</v>
      </c>
      <c r="D3" s="4" t="s">
        <v>642</v>
      </c>
      <c r="J3" s="890" t="s">
        <v>1126</v>
      </c>
      <c r="K3" s="891">
        <v>618</v>
      </c>
      <c r="L3" s="891" t="s">
        <v>1124</v>
      </c>
      <c r="M3" s="890" t="s">
        <v>1125</v>
      </c>
      <c r="N3" s="914" t="s">
        <v>27</v>
      </c>
      <c r="O3" s="595"/>
    </row>
    <row r="4" spans="2:15" ht="32.25" customHeight="1" thickBot="1" x14ac:dyDescent="0.3">
      <c r="B4" s="32" t="s">
        <v>26</v>
      </c>
      <c r="C4" s="163">
        <f>VLOOKUP(B4,'2. VOS DONNEES'!$D$6:$E$153,2,FALSE)</f>
        <v>0</v>
      </c>
      <c r="D4" s="8" t="s">
        <v>1033</v>
      </c>
      <c r="J4" s="890" t="s">
        <v>1127</v>
      </c>
      <c r="K4" s="891">
        <v>670</v>
      </c>
      <c r="L4" s="891" t="s">
        <v>1124</v>
      </c>
      <c r="M4" s="890" t="s">
        <v>1125</v>
      </c>
      <c r="N4" s="914" t="s">
        <v>27</v>
      </c>
    </row>
    <row r="5" spans="2:15" ht="24.75" thickBot="1" x14ac:dyDescent="0.3">
      <c r="B5" s="32" t="s">
        <v>27</v>
      </c>
      <c r="C5" s="163">
        <f>VLOOKUP(B5,'2. VOS DONNEES'!$D$6:$E$153,2,FALSE)</f>
        <v>0</v>
      </c>
      <c r="D5" s="8" t="s">
        <v>1033</v>
      </c>
      <c r="G5" t="s">
        <v>1128</v>
      </c>
      <c r="J5" s="890" t="s">
        <v>1129</v>
      </c>
      <c r="K5" s="891">
        <v>678</v>
      </c>
      <c r="L5" s="891" t="s">
        <v>1124</v>
      </c>
      <c r="M5" s="890" t="s">
        <v>1125</v>
      </c>
      <c r="N5" s="914" t="s">
        <v>27</v>
      </c>
    </row>
    <row r="6" spans="2:15" ht="24.75" thickBot="1" x14ac:dyDescent="0.3">
      <c r="B6" s="32" t="s">
        <v>29</v>
      </c>
      <c r="C6" s="163">
        <f>VLOOKUP(B6,'2. VOS DONNEES'!$D$6:$E$153,2,FALSE)</f>
        <v>0</v>
      </c>
      <c r="D6" s="8" t="s">
        <v>1033</v>
      </c>
      <c r="J6" s="890" t="s">
        <v>1130</v>
      </c>
      <c r="K6" s="891">
        <v>600</v>
      </c>
      <c r="L6" s="891" t="s">
        <v>1124</v>
      </c>
      <c r="M6" s="890" t="s">
        <v>1131</v>
      </c>
      <c r="N6" s="914" t="s">
        <v>27</v>
      </c>
    </row>
    <row r="7" spans="2:15" ht="24.75" thickBot="1" x14ac:dyDescent="0.3">
      <c r="B7" s="32" t="s">
        <v>1132</v>
      </c>
      <c r="C7" s="885">
        <f>'2. VOS DONNEES'!E169</f>
        <v>0</v>
      </c>
      <c r="D7" s="8" t="s">
        <v>1033</v>
      </c>
      <c r="J7" s="892" t="s">
        <v>1133</v>
      </c>
      <c r="K7" s="891">
        <v>608</v>
      </c>
      <c r="L7" s="891" t="s">
        <v>1124</v>
      </c>
      <c r="M7" s="890" t="s">
        <v>1131</v>
      </c>
      <c r="N7" s="914" t="s">
        <v>27</v>
      </c>
    </row>
    <row r="8" spans="2:15" ht="24.75" thickBot="1" x14ac:dyDescent="0.3">
      <c r="J8" s="893" t="s">
        <v>896</v>
      </c>
      <c r="K8" s="891">
        <v>62</v>
      </c>
      <c r="L8" s="891" t="s">
        <v>1124</v>
      </c>
      <c r="M8" s="890" t="s">
        <v>1134</v>
      </c>
      <c r="N8" s="915" t="s">
        <v>106</v>
      </c>
    </row>
    <row r="9" spans="2:15" ht="24.75" thickBot="1" x14ac:dyDescent="0.4">
      <c r="B9" s="680" t="s">
        <v>1135</v>
      </c>
      <c r="C9" s="681"/>
      <c r="D9" s="682"/>
      <c r="J9" s="890" t="s">
        <v>1136</v>
      </c>
      <c r="K9" s="891">
        <v>623</v>
      </c>
      <c r="L9" s="891" t="s">
        <v>1124</v>
      </c>
      <c r="M9" s="890" t="s">
        <v>1134</v>
      </c>
      <c r="N9" s="916" t="s">
        <v>107</v>
      </c>
    </row>
    <row r="10" spans="2:15" ht="15.75" thickBot="1" x14ac:dyDescent="0.3">
      <c r="B10" s="32" t="s">
        <v>27</v>
      </c>
      <c r="C10" s="884">
        <f>C5</f>
        <v>0</v>
      </c>
      <c r="D10" s="131" t="s">
        <v>1033</v>
      </c>
      <c r="J10" s="890" t="s">
        <v>906</v>
      </c>
      <c r="K10" s="891">
        <v>72</v>
      </c>
      <c r="L10" s="891" t="s">
        <v>1124</v>
      </c>
      <c r="M10" s="890" t="s">
        <v>1137</v>
      </c>
      <c r="N10" s="894" t="s">
        <v>109</v>
      </c>
    </row>
    <row r="11" spans="2:15" x14ac:dyDescent="0.25">
      <c r="B11" s="887" t="s">
        <v>106</v>
      </c>
      <c r="C11" s="884">
        <f>IFERROR((VLOOKUP(B11,'2. VOS DONNEES'!$D$6:$E$283,2,FALSE)),0)</f>
        <v>0</v>
      </c>
      <c r="D11" s="131" t="s">
        <v>1033</v>
      </c>
      <c r="J11" s="890" t="s">
        <v>866</v>
      </c>
      <c r="K11" s="891">
        <v>73</v>
      </c>
      <c r="L11" s="891" t="s">
        <v>1124</v>
      </c>
      <c r="M11" s="890" t="s">
        <v>1137</v>
      </c>
      <c r="N11" s="894" t="s">
        <v>79</v>
      </c>
    </row>
    <row r="12" spans="2:15" x14ac:dyDescent="0.25">
      <c r="B12" s="888" t="s">
        <v>107</v>
      </c>
      <c r="C12" s="162">
        <f>IFERROR((VLOOKUP(B12,'2. VOS DONNEES'!$D$6:$E$283,2,FALSE)),0)</f>
        <v>0</v>
      </c>
      <c r="D12" s="131" t="s">
        <v>1033</v>
      </c>
      <c r="J12" s="890" t="s">
        <v>867</v>
      </c>
      <c r="K12" s="891">
        <v>56</v>
      </c>
      <c r="L12" s="891" t="s">
        <v>1124</v>
      </c>
      <c r="M12" s="890" t="s">
        <v>1137</v>
      </c>
      <c r="N12" s="894" t="s">
        <v>647</v>
      </c>
    </row>
    <row r="13" spans="2:15" ht="17.25" customHeight="1" x14ac:dyDescent="0.25">
      <c r="B13" s="196" t="s">
        <v>644</v>
      </c>
      <c r="C13" s="162">
        <f>IFERROR((VLOOKUP(B13,'2. VOS DONNEES'!$D$6:$E$283,2,FALSE)),0)</f>
        <v>0</v>
      </c>
      <c r="D13" s="131" t="s">
        <v>1033</v>
      </c>
      <c r="J13" s="890" t="s">
        <v>863</v>
      </c>
      <c r="K13" s="891">
        <v>57</v>
      </c>
      <c r="L13" s="891" t="s">
        <v>1124</v>
      </c>
      <c r="M13" s="890" t="s">
        <v>1137</v>
      </c>
      <c r="N13" s="894" t="s">
        <v>646</v>
      </c>
    </row>
    <row r="14" spans="2:15" ht="15.6" customHeight="1" x14ac:dyDescent="0.25">
      <c r="B14" s="197" t="s">
        <v>109</v>
      </c>
      <c r="C14" s="162">
        <f>IFERROR((VLOOKUP(B14,'2. VOS DONNEES'!$D$6:$E$283,2,FALSE)),0)</f>
        <v>0</v>
      </c>
      <c r="D14" s="131" t="s">
        <v>1033</v>
      </c>
      <c r="J14" s="890" t="s">
        <v>1138</v>
      </c>
      <c r="K14" s="891">
        <v>58</v>
      </c>
      <c r="L14" s="891" t="s">
        <v>1124</v>
      </c>
      <c r="M14" s="890" t="s">
        <v>1137</v>
      </c>
      <c r="N14" s="894" t="s">
        <v>648</v>
      </c>
    </row>
    <row r="15" spans="2:15" ht="15.6" customHeight="1" x14ac:dyDescent="0.25">
      <c r="B15" s="197" t="s">
        <v>646</v>
      </c>
      <c r="C15" s="162">
        <f>IFERROR((VLOOKUP(B15,'2. VOS DONNEES'!$D$6:$E$283,2,FALSE)),0)</f>
        <v>0</v>
      </c>
      <c r="D15" s="131" t="s">
        <v>1033</v>
      </c>
      <c r="J15" s="890" t="s">
        <v>853</v>
      </c>
      <c r="K15" s="891">
        <v>521</v>
      </c>
      <c r="L15" s="891" t="s">
        <v>1124</v>
      </c>
      <c r="M15" s="890" t="s">
        <v>1137</v>
      </c>
      <c r="N15" s="895" t="s">
        <v>784</v>
      </c>
    </row>
    <row r="16" spans="2:15" ht="15.6" customHeight="1" x14ac:dyDescent="0.25">
      <c r="B16" s="197" t="s">
        <v>79</v>
      </c>
      <c r="C16" s="162">
        <f>IFERROR((VLOOKUP(B16,'2. VOS DONNEES'!$D$6:$E$283,2,FALSE)),0)</f>
        <v>0</v>
      </c>
      <c r="D16" s="131" t="s">
        <v>1033</v>
      </c>
      <c r="J16" s="890" t="s">
        <v>1139</v>
      </c>
      <c r="K16" s="891">
        <v>522</v>
      </c>
      <c r="L16" s="891" t="s">
        <v>1124</v>
      </c>
      <c r="M16" s="890" t="s">
        <v>1137</v>
      </c>
      <c r="N16" s="895" t="s">
        <v>785</v>
      </c>
    </row>
    <row r="17" spans="2:16" ht="15.6" customHeight="1" x14ac:dyDescent="0.25">
      <c r="B17" s="197" t="s">
        <v>647</v>
      </c>
      <c r="C17" s="162">
        <f>IFERROR((VLOOKUP(B17,'2. VOS DONNEES'!$D$6:$E$283,2,FALSE)),0)</f>
        <v>0</v>
      </c>
      <c r="D17" s="131" t="s">
        <v>1033</v>
      </c>
      <c r="J17" s="890" t="s">
        <v>865</v>
      </c>
      <c r="K17" s="891">
        <v>53</v>
      </c>
      <c r="L17" s="891" t="s">
        <v>1124</v>
      </c>
      <c r="M17" s="890" t="s">
        <v>1137</v>
      </c>
      <c r="N17" s="896" t="s">
        <v>787</v>
      </c>
    </row>
    <row r="18" spans="2:16" ht="15.6" customHeight="1" x14ac:dyDescent="0.25">
      <c r="B18" s="197" t="s">
        <v>648</v>
      </c>
      <c r="C18" s="162">
        <f>IFERROR((VLOOKUP(B18,'2. VOS DONNEES'!$D$6:$E$283,2,FALSE)),0)</f>
        <v>0</v>
      </c>
      <c r="D18" s="131" t="s">
        <v>1033</v>
      </c>
      <c r="J18" s="893" t="s">
        <v>875</v>
      </c>
      <c r="K18" s="891">
        <v>541</v>
      </c>
      <c r="L18" s="891" t="s">
        <v>1124</v>
      </c>
      <c r="M18" s="890" t="s">
        <v>1137</v>
      </c>
      <c r="N18" s="897" t="s">
        <v>86</v>
      </c>
      <c r="P18" s="886"/>
    </row>
    <row r="19" spans="2:16" ht="30" x14ac:dyDescent="0.25">
      <c r="B19" s="199" t="s">
        <v>784</v>
      </c>
      <c r="C19" s="162">
        <f>IFERROR((VLOOKUP(B19,'2. VOS DONNEES'!$D$6:$E$283,2,FALSE)),0)</f>
        <v>0</v>
      </c>
      <c r="D19" s="131" t="s">
        <v>1033</v>
      </c>
      <c r="J19" s="893" t="s">
        <v>1140</v>
      </c>
      <c r="K19" s="891">
        <v>542</v>
      </c>
      <c r="L19" s="891" t="s">
        <v>1124</v>
      </c>
      <c r="M19" s="890" t="s">
        <v>1137</v>
      </c>
      <c r="N19" s="897" t="s">
        <v>87</v>
      </c>
      <c r="P19" s="886"/>
    </row>
    <row r="20" spans="2:16" x14ac:dyDescent="0.25">
      <c r="B20" s="199" t="s">
        <v>785</v>
      </c>
      <c r="C20" s="162">
        <f>IFERROR((VLOOKUP(B20,'2. VOS DONNEES'!$D$6:$E$283,2,FALSE)),0)</f>
        <v>0</v>
      </c>
      <c r="D20" s="131" t="s">
        <v>1033</v>
      </c>
      <c r="J20" s="890" t="s">
        <v>885</v>
      </c>
      <c r="K20" s="891">
        <v>511</v>
      </c>
      <c r="L20" s="891" t="s">
        <v>1124</v>
      </c>
      <c r="M20" s="890" t="s">
        <v>1137</v>
      </c>
      <c r="N20" s="896" t="s">
        <v>788</v>
      </c>
      <c r="P20" s="886"/>
    </row>
    <row r="21" spans="2:16" x14ac:dyDescent="0.25">
      <c r="B21" s="199" t="s">
        <v>787</v>
      </c>
      <c r="C21" s="162">
        <f>IFERROR((VLOOKUP(B21,'2. VOS DONNEES'!$D$6:$E$283,2,FALSE)),0)</f>
        <v>0</v>
      </c>
      <c r="D21" s="131" t="s">
        <v>1033</v>
      </c>
      <c r="J21" s="890" t="s">
        <v>886</v>
      </c>
      <c r="K21" s="891">
        <v>512</v>
      </c>
      <c r="L21" s="891" t="s">
        <v>1124</v>
      </c>
      <c r="M21" s="890" t="s">
        <v>1137</v>
      </c>
      <c r="N21" s="896" t="s">
        <v>789</v>
      </c>
      <c r="P21" s="886"/>
    </row>
    <row r="22" spans="2:16" ht="30" x14ac:dyDescent="0.25">
      <c r="B22" s="200" t="s">
        <v>86</v>
      </c>
      <c r="C22" s="162">
        <f>IFERROR((VLOOKUP(B22,'2. VOS DONNEES'!$D$6:$E$283,2,FALSE)),0)</f>
        <v>0</v>
      </c>
      <c r="D22" s="131" t="s">
        <v>1033</v>
      </c>
      <c r="J22" s="890" t="s">
        <v>902</v>
      </c>
      <c r="K22" s="891">
        <v>43</v>
      </c>
      <c r="L22" s="891" t="s">
        <v>920</v>
      </c>
      <c r="M22" s="890" t="s">
        <v>1137</v>
      </c>
      <c r="N22" s="909" t="s">
        <v>783</v>
      </c>
      <c r="P22" s="886"/>
    </row>
    <row r="23" spans="2:16" ht="30" x14ac:dyDescent="0.25">
      <c r="B23" s="200" t="s">
        <v>87</v>
      </c>
      <c r="C23" s="162">
        <f>IFERROR((VLOOKUP(B23,'2. VOS DONNEES'!$D$6:$E$283,2,FALSE)),0)</f>
        <v>0</v>
      </c>
      <c r="D23" s="131" t="s">
        <v>1033</v>
      </c>
      <c r="J23" s="890" t="s">
        <v>1141</v>
      </c>
      <c r="K23" s="891">
        <v>9742</v>
      </c>
      <c r="L23" s="891" t="s">
        <v>1124</v>
      </c>
      <c r="M23" s="890" t="s">
        <v>1142</v>
      </c>
      <c r="N23" s="898" t="s">
        <v>113</v>
      </c>
      <c r="P23" s="886"/>
    </row>
    <row r="24" spans="2:16" ht="16.5" customHeight="1" x14ac:dyDescent="0.25">
      <c r="B24" s="199" t="s">
        <v>788</v>
      </c>
      <c r="C24" s="162">
        <f>IFERROR((VLOOKUP(B24,'2. VOS DONNEES'!$D$6:$E$283,2,FALSE)),0)</f>
        <v>0</v>
      </c>
      <c r="D24" s="131" t="s">
        <v>1033</v>
      </c>
      <c r="J24" s="899" t="s">
        <v>1143</v>
      </c>
      <c r="K24" s="900">
        <v>9726</v>
      </c>
      <c r="L24" s="891" t="s">
        <v>1124</v>
      </c>
      <c r="M24" s="890" t="s">
        <v>1142</v>
      </c>
      <c r="N24" s="901" t="s">
        <v>649</v>
      </c>
      <c r="P24" s="886"/>
    </row>
    <row r="25" spans="2:16" ht="31.5" customHeight="1" x14ac:dyDescent="0.25">
      <c r="B25" s="199" t="s">
        <v>789</v>
      </c>
      <c r="C25" s="162">
        <f>IFERROR((VLOOKUP(B25,'2. VOS DONNEES'!$D$6:$E$283,2,FALSE)),0)</f>
        <v>0</v>
      </c>
      <c r="D25" s="131" t="s">
        <v>1033</v>
      </c>
      <c r="J25" s="899" t="s">
        <v>1144</v>
      </c>
      <c r="K25" s="900">
        <v>9732</v>
      </c>
      <c r="L25" s="891" t="s">
        <v>1124</v>
      </c>
      <c r="M25" s="890" t="s">
        <v>1142</v>
      </c>
      <c r="N25" s="901" t="s">
        <v>649</v>
      </c>
    </row>
    <row r="26" spans="2:16" ht="16.5" customHeight="1" x14ac:dyDescent="0.25">
      <c r="B26" s="194" t="s">
        <v>783</v>
      </c>
      <c r="C26" s="162">
        <f>IFERROR((VLOOKUP(B26,'2. VOS DONNEES'!$D$6:$E$283,2,FALSE)),0)</f>
        <v>0</v>
      </c>
      <c r="D26" s="131" t="s">
        <v>1033</v>
      </c>
      <c r="J26" s="902" t="s">
        <v>1145</v>
      </c>
      <c r="K26" s="903">
        <v>9730</v>
      </c>
      <c r="L26" s="891" t="s">
        <v>1124</v>
      </c>
      <c r="M26" s="890" t="s">
        <v>1142</v>
      </c>
      <c r="N26" s="901" t="s">
        <v>649</v>
      </c>
    </row>
    <row r="27" spans="2:16" ht="16.5" customHeight="1" x14ac:dyDescent="0.25">
      <c r="B27" s="198" t="s">
        <v>113</v>
      </c>
      <c r="C27" s="162">
        <f>IFERROR((VLOOKUP(B27,'2. VOS DONNEES'!$D$6:$E$283,2,FALSE)),0)</f>
        <v>0</v>
      </c>
      <c r="D27" s="131" t="s">
        <v>1033</v>
      </c>
      <c r="J27" s="902" t="s">
        <v>1146</v>
      </c>
      <c r="K27" s="903">
        <v>9731</v>
      </c>
      <c r="L27" s="891" t="s">
        <v>1124</v>
      </c>
      <c r="M27" s="890" t="s">
        <v>1142</v>
      </c>
      <c r="N27" s="901" t="s">
        <v>649</v>
      </c>
    </row>
    <row r="28" spans="2:16" ht="16.5" customHeight="1" x14ac:dyDescent="0.25">
      <c r="B28" s="201" t="s">
        <v>649</v>
      </c>
      <c r="C28" s="162">
        <f>IFERROR((VLOOKUP(B28,'2. VOS DONNEES'!$D$6:$E$283,2,FALSE)),0)</f>
        <v>0</v>
      </c>
      <c r="D28" s="131" t="s">
        <v>1033</v>
      </c>
      <c r="J28" s="890" t="s">
        <v>835</v>
      </c>
      <c r="K28" s="891">
        <v>752</v>
      </c>
      <c r="L28" s="891" t="s">
        <v>1124</v>
      </c>
      <c r="M28" s="890" t="s">
        <v>1134</v>
      </c>
      <c r="N28" s="904" t="s">
        <v>917</v>
      </c>
    </row>
    <row r="29" spans="2:16" ht="16.5" customHeight="1" x14ac:dyDescent="0.25">
      <c r="B29" s="144" t="s">
        <v>917</v>
      </c>
      <c r="C29" s="162">
        <f>IFERROR((VLOOKUP(B29,'2. VOS DONNEES'!$D$6:$E$269,2,FALSE)),0)</f>
        <v>0</v>
      </c>
      <c r="D29" s="131" t="s">
        <v>1033</v>
      </c>
      <c r="J29" s="890" t="s">
        <v>835</v>
      </c>
      <c r="K29" s="891">
        <v>752</v>
      </c>
      <c r="L29" s="891" t="s">
        <v>1124</v>
      </c>
      <c r="M29" s="890" t="s">
        <v>1134</v>
      </c>
      <c r="N29" s="905" t="s">
        <v>918</v>
      </c>
    </row>
    <row r="30" spans="2:16" ht="16.5" customHeight="1" x14ac:dyDescent="0.25">
      <c r="B30" s="144" t="s">
        <v>918</v>
      </c>
      <c r="C30" s="162">
        <f>IFERROR((VLOOKUP(B30,'2. VOS DONNEES'!$D$6:$E$269,2,FALSE)),0)</f>
        <v>0</v>
      </c>
      <c r="D30" s="131" t="s">
        <v>1033</v>
      </c>
      <c r="J30" s="890" t="s">
        <v>1147</v>
      </c>
      <c r="K30" s="891">
        <v>811</v>
      </c>
      <c r="L30" s="891" t="s">
        <v>1124</v>
      </c>
      <c r="M30" s="890" t="s">
        <v>1148</v>
      </c>
      <c r="N30" s="906" t="s">
        <v>919</v>
      </c>
    </row>
    <row r="31" spans="2:16" ht="16.5" customHeight="1" x14ac:dyDescent="0.25">
      <c r="B31" s="144" t="s">
        <v>352</v>
      </c>
      <c r="C31" s="162">
        <f>IFERROR((VLOOKUP(B31,'2. VOS DONNEES'!$D$6:$E$269,2,FALSE)),0)</f>
        <v>0</v>
      </c>
      <c r="D31" s="131" t="s">
        <v>1033</v>
      </c>
      <c r="J31" s="890" t="s">
        <v>1147</v>
      </c>
      <c r="K31" s="891">
        <v>811</v>
      </c>
      <c r="L31" s="891" t="s">
        <v>1124</v>
      </c>
      <c r="M31" s="890" t="s">
        <v>1148</v>
      </c>
      <c r="N31" s="907" t="s">
        <v>919</v>
      </c>
    </row>
    <row r="32" spans="2:16" ht="16.5" customHeight="1" x14ac:dyDescent="0.25">
      <c r="B32" s="144" t="s">
        <v>353</v>
      </c>
      <c r="C32" s="162">
        <f>IFERROR((VLOOKUP(B32,'2. VOS DONNEES'!$D$6:$E$269,2,FALSE)),0)</f>
        <v>0</v>
      </c>
      <c r="D32" s="131" t="s">
        <v>1033</v>
      </c>
      <c r="E32"/>
      <c r="J32" s="890" t="s">
        <v>1149</v>
      </c>
      <c r="K32" s="891">
        <v>812</v>
      </c>
      <c r="L32" s="891" t="s">
        <v>1124</v>
      </c>
      <c r="M32" s="890" t="s">
        <v>1148</v>
      </c>
      <c r="N32" s="906" t="s">
        <v>921</v>
      </c>
    </row>
    <row r="33" spans="2:15" ht="16.5" customHeight="1" x14ac:dyDescent="0.25">
      <c r="B33" s="143" t="s">
        <v>919</v>
      </c>
      <c r="C33" s="162">
        <f>IFERROR((VLOOKUP(B33,'2. VOS DONNEES'!$D$6:$E$269,2,FALSE)),0)</f>
        <v>0</v>
      </c>
      <c r="D33" s="882" t="s">
        <v>1033</v>
      </c>
      <c r="J33" s="890" t="s">
        <v>1149</v>
      </c>
      <c r="K33" s="891">
        <v>812</v>
      </c>
      <c r="L33" s="891" t="s">
        <v>1124</v>
      </c>
      <c r="M33" s="890" t="s">
        <v>1148</v>
      </c>
      <c r="N33" s="907" t="s">
        <v>921</v>
      </c>
    </row>
    <row r="34" spans="2:15" ht="16.5" customHeight="1" x14ac:dyDescent="0.25">
      <c r="B34" s="143" t="s">
        <v>922</v>
      </c>
      <c r="C34" s="162">
        <f>IFERROR((VLOOKUP(B34,'2. VOS DONNEES'!$D$6:$E$269,2,FALSE)),0)</f>
        <v>0</v>
      </c>
      <c r="D34" s="882" t="s">
        <v>1033</v>
      </c>
      <c r="E34"/>
      <c r="J34" s="890" t="s">
        <v>1150</v>
      </c>
      <c r="K34" s="891">
        <v>813</v>
      </c>
      <c r="L34" s="891" t="s">
        <v>1124</v>
      </c>
      <c r="M34" s="890" t="s">
        <v>1148</v>
      </c>
      <c r="N34" s="906" t="s">
        <v>922</v>
      </c>
    </row>
    <row r="35" spans="2:15" x14ac:dyDescent="0.25">
      <c r="B35" s="143" t="s">
        <v>921</v>
      </c>
      <c r="C35" s="162">
        <f>IFERROR((VLOOKUP(B35,'2. VOS DONNEES'!$D$6:$E$269,2,FALSE)),0)</f>
        <v>0</v>
      </c>
      <c r="D35" s="882" t="s">
        <v>1033</v>
      </c>
      <c r="J35" s="890" t="s">
        <v>1150</v>
      </c>
      <c r="K35" s="891">
        <v>813</v>
      </c>
      <c r="L35" s="891" t="s">
        <v>1124</v>
      </c>
      <c r="M35" s="890" t="s">
        <v>1148</v>
      </c>
      <c r="N35" s="907" t="s">
        <v>924</v>
      </c>
    </row>
    <row r="36" spans="2:15" ht="24.75" thickBot="1" x14ac:dyDescent="0.3">
      <c r="B36" s="143" t="s">
        <v>924</v>
      </c>
      <c r="C36" s="162">
        <f>IFERROR((VLOOKUP(B36,'2. VOS DONNEES'!$D$6:$E$269,2,FALSE)),0)</f>
        <v>0</v>
      </c>
      <c r="D36" s="883" t="s">
        <v>1033</v>
      </c>
      <c r="J36" s="890" t="s">
        <v>905</v>
      </c>
      <c r="K36" s="891">
        <v>751</v>
      </c>
      <c r="L36" s="891" t="s">
        <v>1124</v>
      </c>
      <c r="M36" s="890" t="s">
        <v>1134</v>
      </c>
      <c r="N36" s="908" t="s">
        <v>352</v>
      </c>
    </row>
    <row r="37" spans="2:15" ht="15.75" thickBot="1" x14ac:dyDescent="0.3">
      <c r="J37" s="890" t="s">
        <v>1151</v>
      </c>
      <c r="K37" s="891">
        <v>754</v>
      </c>
      <c r="L37" s="891" t="s">
        <v>1124</v>
      </c>
      <c r="M37" s="890" t="s">
        <v>1148</v>
      </c>
      <c r="N37" s="908" t="s">
        <v>353</v>
      </c>
    </row>
    <row r="38" spans="2:15" ht="21.75" thickBot="1" x14ac:dyDescent="0.4">
      <c r="B38" s="680" t="s">
        <v>1152</v>
      </c>
      <c r="C38" s="681"/>
      <c r="D38" s="682"/>
    </row>
    <row r="39" spans="2:15" ht="30" customHeight="1" thickBot="1" x14ac:dyDescent="0.3">
      <c r="B39" s="10" t="s">
        <v>1153</v>
      </c>
      <c r="F39" s="33" t="s">
        <v>1154</v>
      </c>
      <c r="G39" s="33" t="s">
        <v>1155</v>
      </c>
      <c r="H39" s="33" t="s">
        <v>1156</v>
      </c>
    </row>
    <row r="40" spans="2:15" ht="105.75" customHeight="1" thickBot="1" x14ac:dyDescent="0.3">
      <c r="B40" s="28" t="s">
        <v>1157</v>
      </c>
      <c r="C40" s="500">
        <f>IFERROR(IF(SUM(C11,C12,C13,C14:C18,C19,C20,C21,C22,C23,C24,C25,C26,C29:C30,C31,C32:C36,C7)/$C$6&gt;0.75,1,0),0)</f>
        <v>0</v>
      </c>
      <c r="D40" s="24"/>
      <c r="F40" s="308">
        <f>SUM(C11,C12,C13,C14:C18,C19,C20,C21,C22,C23,C24,C25,C29:C30,C31,C32:C36,C7)</f>
        <v>0</v>
      </c>
      <c r="G40" s="33">
        <f>C6</f>
        <v>0</v>
      </c>
      <c r="H40" s="33" t="e">
        <f>F40/G40</f>
        <v>#DIV/0!</v>
      </c>
      <c r="I40" s="889" t="s">
        <v>1158</v>
      </c>
      <c r="J40" s="911" t="s">
        <v>1159</v>
      </c>
    </row>
    <row r="41" spans="2:15" ht="64.5" customHeight="1" thickBot="1" x14ac:dyDescent="0.3">
      <c r="B41" s="27" t="s">
        <v>1160</v>
      </c>
      <c r="C41" s="502" t="e">
        <f>(IF(SUM(C5,C11:C12,C13,C27:C28,C29:C31)/$C$4&gt;0.75,1,0))</f>
        <v>#DIV/0!</v>
      </c>
      <c r="D41" s="501"/>
      <c r="F41" s="308">
        <f>SUM(C10,C11:C12,C13,C27:C28,C29:C30)</f>
        <v>0</v>
      </c>
      <c r="G41" s="33">
        <f>C4</f>
        <v>0</v>
      </c>
      <c r="H41" s="33" t="e">
        <f>F41/G41</f>
        <v>#DIV/0!</v>
      </c>
      <c r="I41" s="33" t="e">
        <f>IF(H40&gt;0.75,1,0)</f>
        <v>#DIV/0!</v>
      </c>
      <c r="J41" s="34" t="s">
        <v>1161</v>
      </c>
    </row>
    <row r="42" spans="2:15" ht="15.75" thickBot="1" x14ac:dyDescent="0.3">
      <c r="B42" s="11" t="s">
        <v>1162</v>
      </c>
      <c r="C42" s="503">
        <f>IFERROR(IF(AND(C6&lt;=10,C6&gt;=0),1,0),0)</f>
        <v>1</v>
      </c>
      <c r="D42" s="8"/>
      <c r="F42" s="33">
        <f>C6</f>
        <v>0</v>
      </c>
      <c r="G42" s="33">
        <v>10</v>
      </c>
      <c r="H42" s="33" t="s">
        <v>1163</v>
      </c>
      <c r="I42" s="33" t="e">
        <f>IF(H41&gt;0.75,1,0)</f>
        <v>#DIV/0!</v>
      </c>
    </row>
    <row r="43" spans="2:15" ht="15.75" thickBot="1" x14ac:dyDescent="0.3">
      <c r="I43" s="33">
        <f>IF(F42&lt;=10,1,0)</f>
        <v>1</v>
      </c>
    </row>
    <row r="44" spans="2:15" ht="58.5" customHeight="1" thickBot="1" x14ac:dyDescent="0.4">
      <c r="B44" s="680" t="s">
        <v>659</v>
      </c>
      <c r="C44" s="681"/>
      <c r="D44" s="682" t="s">
        <v>1164</v>
      </c>
    </row>
    <row r="45" spans="2:15" ht="39.75" customHeight="1" thickBot="1" x14ac:dyDescent="0.3">
      <c r="B45" s="21" t="s">
        <v>1165</v>
      </c>
      <c r="C45" s="26" t="e">
        <f>IF(SUM(C40:C42)&gt;=1,"EXEMPTE / EN ORDRE BCAE 8","NON, VOUS ETES SOUMIS A LA BCAE 8")</f>
        <v>#DIV/0!</v>
      </c>
      <c r="D45" s="26" t="e">
        <f>IF(C45="EXEMPTE / EN ORDRE BCAE 8",1,0)</f>
        <v>#DIV/0!</v>
      </c>
    </row>
    <row r="46" spans="2:15" ht="15.75" thickBot="1" x14ac:dyDescent="0.3">
      <c r="B46" s="8"/>
    </row>
    <row r="47" spans="2:15" ht="26.25" thickBot="1" x14ac:dyDescent="0.4">
      <c r="B47" s="680" t="s">
        <v>1166</v>
      </c>
      <c r="C47" s="681"/>
      <c r="D47" s="682"/>
      <c r="K47" s="683" t="s">
        <v>1167</v>
      </c>
      <c r="L47" s="684" t="s">
        <v>1168</v>
      </c>
      <c r="M47" s="684" t="s">
        <v>1169</v>
      </c>
      <c r="N47" s="685" t="s">
        <v>1170</v>
      </c>
      <c r="O47" s="686" t="s">
        <v>1171</v>
      </c>
    </row>
    <row r="48" spans="2:15" ht="16.149999999999999" customHeight="1" thickBot="1" x14ac:dyDescent="0.3">
      <c r="B48" s="13" t="s">
        <v>928</v>
      </c>
      <c r="C48" s="161">
        <f>IFERROR(VLOOKUP(B48,'2. VOS DONNEES'!$D$255:$E$269,2,FALSE),0)</f>
        <v>0</v>
      </c>
      <c r="D48" s="8" t="s">
        <v>1172</v>
      </c>
      <c r="J48" s="41" t="s">
        <v>1173</v>
      </c>
      <c r="K48" s="35">
        <v>5</v>
      </c>
      <c r="L48" s="35">
        <v>2</v>
      </c>
      <c r="M48" s="36">
        <f>K48*L48/10000</f>
        <v>1E-3</v>
      </c>
      <c r="N48" s="170">
        <f t="shared" ref="N48:N68" si="0">C48</f>
        <v>0</v>
      </c>
      <c r="O48" s="171">
        <f t="shared" ref="O48:O63" si="1">C48*M48</f>
        <v>0</v>
      </c>
    </row>
    <row r="49" spans="2:16" ht="15.75" thickBot="1" x14ac:dyDescent="0.3">
      <c r="B49" s="13" t="s">
        <v>929</v>
      </c>
      <c r="C49" s="161">
        <f>IFERROR(VLOOKUP(B49,'2. VOS DONNEES'!$D$255:$E$269,2,FALSE),0)</f>
        <v>0</v>
      </c>
      <c r="D49" s="8" t="s">
        <v>1174</v>
      </c>
      <c r="J49" s="42" t="s">
        <v>1175</v>
      </c>
      <c r="K49" s="35">
        <v>20</v>
      </c>
      <c r="L49" s="35">
        <v>1.5</v>
      </c>
      <c r="M49" s="36">
        <f>K49*L49/10000</f>
        <v>3.0000000000000001E-3</v>
      </c>
      <c r="N49" s="170">
        <f t="shared" si="0"/>
        <v>0</v>
      </c>
      <c r="O49" s="171">
        <f t="shared" si="1"/>
        <v>0</v>
      </c>
    </row>
    <row r="50" spans="2:16" ht="18" customHeight="1" thickBot="1" x14ac:dyDescent="0.3">
      <c r="B50" s="13" t="s">
        <v>930</v>
      </c>
      <c r="C50" s="161">
        <f>IFERROR(VLOOKUP(B50,'2. VOS DONNEES'!$D$255:$E$269,2,FALSE),0)</f>
        <v>0</v>
      </c>
      <c r="D50" s="8" t="s">
        <v>1174</v>
      </c>
      <c r="J50" s="42" t="s">
        <v>1176</v>
      </c>
      <c r="K50" s="35">
        <v>20</v>
      </c>
      <c r="L50" s="35">
        <v>1.5</v>
      </c>
      <c r="M50" s="36">
        <f>K50*L50/10000</f>
        <v>3.0000000000000001E-3</v>
      </c>
      <c r="N50" s="170">
        <f t="shared" si="0"/>
        <v>0</v>
      </c>
      <c r="O50" s="171">
        <f t="shared" si="1"/>
        <v>0</v>
      </c>
    </row>
    <row r="51" spans="2:16" ht="18.600000000000001" customHeight="1" thickBot="1" x14ac:dyDescent="0.3">
      <c r="B51" s="13" t="s">
        <v>356</v>
      </c>
      <c r="C51" s="161">
        <f>IFERROR(VLOOKUP(B51,'2. VOS DONNEES'!$D$255:$E$269,2,FALSE),0)</f>
        <v>0</v>
      </c>
      <c r="D51" s="8" t="s">
        <v>1174</v>
      </c>
      <c r="J51" s="42" t="s">
        <v>1177</v>
      </c>
      <c r="K51" s="35">
        <v>5</v>
      </c>
      <c r="L51" s="35">
        <v>2</v>
      </c>
      <c r="M51" s="36">
        <v>1E-3</v>
      </c>
      <c r="N51" s="170">
        <f t="shared" si="0"/>
        <v>0</v>
      </c>
      <c r="O51" s="171">
        <f t="shared" si="1"/>
        <v>0</v>
      </c>
    </row>
    <row r="52" spans="2:16" ht="15.75" thickBot="1" x14ac:dyDescent="0.3">
      <c r="B52" s="13" t="s">
        <v>917</v>
      </c>
      <c r="C52" s="161">
        <f>IFERROR(VLOOKUP(B52,'2. VOS DONNEES'!$D$255:$E$269,2,FALSE),0)</f>
        <v>0</v>
      </c>
      <c r="D52" s="8" t="s">
        <v>1033</v>
      </c>
      <c r="J52" s="42" t="s">
        <v>1178</v>
      </c>
      <c r="K52" s="35">
        <v>1</v>
      </c>
      <c r="L52" s="35" t="s">
        <v>1179</v>
      </c>
      <c r="M52" s="36">
        <v>1.5</v>
      </c>
      <c r="N52" s="170">
        <f t="shared" si="0"/>
        <v>0</v>
      </c>
      <c r="O52" s="171">
        <f t="shared" si="1"/>
        <v>0</v>
      </c>
    </row>
    <row r="53" spans="2:16" ht="15.75" thickBot="1" x14ac:dyDescent="0.3">
      <c r="B53" s="13" t="s">
        <v>344</v>
      </c>
      <c r="C53" s="161">
        <f>IFERROR(VLOOKUP(B53,'2. VOS DONNEES'!$D$255:$E$269,2,FALSE),0)</f>
        <v>0</v>
      </c>
      <c r="D53" s="8" t="s">
        <v>1033</v>
      </c>
      <c r="J53" s="42" t="s">
        <v>1180</v>
      </c>
      <c r="K53" s="35">
        <v>1</v>
      </c>
      <c r="L53" s="35" t="s">
        <v>1179</v>
      </c>
      <c r="M53" s="36">
        <v>1.5</v>
      </c>
      <c r="N53" s="170">
        <f t="shared" si="0"/>
        <v>0</v>
      </c>
      <c r="O53" s="171">
        <f t="shared" si="1"/>
        <v>0</v>
      </c>
    </row>
    <row r="54" spans="2:16" ht="15.75" thickBot="1" x14ac:dyDescent="0.3">
      <c r="B54" s="13" t="s">
        <v>933</v>
      </c>
      <c r="C54" s="161">
        <f>IFERROR(VLOOKUP(B54,'2. VOS DONNEES'!$D$255:$E$269,2,FALSE),0)</f>
        <v>0</v>
      </c>
      <c r="D54" s="8" t="s">
        <v>1172</v>
      </c>
      <c r="J54" s="42" t="s">
        <v>1181</v>
      </c>
      <c r="K54" s="35">
        <v>5</v>
      </c>
      <c r="L54" s="35">
        <v>2</v>
      </c>
      <c r="M54" s="36">
        <f>0.001</f>
        <v>1E-3</v>
      </c>
      <c r="N54" s="170">
        <f t="shared" si="0"/>
        <v>0</v>
      </c>
      <c r="O54" s="171">
        <f t="shared" si="1"/>
        <v>0</v>
      </c>
    </row>
    <row r="55" spans="2:16" ht="15.75" thickBot="1" x14ac:dyDescent="0.3">
      <c r="B55" s="13" t="s">
        <v>357</v>
      </c>
      <c r="C55" s="161">
        <f>IFERROR(VLOOKUP(B55,'2. VOS DONNEES'!$D$255:$E$269,2,FALSE),0)</f>
        <v>0</v>
      </c>
      <c r="D55" s="8" t="s">
        <v>1172</v>
      </c>
      <c r="J55" s="42" t="s">
        <v>1182</v>
      </c>
      <c r="K55" s="35">
        <v>5</v>
      </c>
      <c r="L55" s="35">
        <v>2</v>
      </c>
      <c r="M55" s="36">
        <f>0.001</f>
        <v>1E-3</v>
      </c>
      <c r="N55" s="170">
        <f t="shared" si="0"/>
        <v>0</v>
      </c>
      <c r="O55" s="171">
        <f t="shared" si="1"/>
        <v>0</v>
      </c>
    </row>
    <row r="56" spans="2:16" ht="15.75" thickBot="1" x14ac:dyDescent="0.3">
      <c r="B56" s="13" t="s">
        <v>358</v>
      </c>
      <c r="C56" s="161">
        <f>IFERROR(VLOOKUP(B56,'2. VOS DONNEES'!$D$255:$E$269,2,FALSE),0)</f>
        <v>0</v>
      </c>
      <c r="D56" s="8" t="s">
        <v>1174</v>
      </c>
      <c r="J56" s="42" t="s">
        <v>1183</v>
      </c>
      <c r="K56" s="35">
        <v>400</v>
      </c>
      <c r="L56" s="35">
        <v>1.5</v>
      </c>
      <c r="M56" s="36">
        <f>K56*L56/10000</f>
        <v>0.06</v>
      </c>
      <c r="N56" s="170">
        <f t="shared" si="0"/>
        <v>0</v>
      </c>
      <c r="O56" s="171">
        <f t="shared" si="1"/>
        <v>0</v>
      </c>
    </row>
    <row r="57" spans="2:16" ht="15.75" thickBot="1" x14ac:dyDescent="0.3">
      <c r="B57" s="159" t="s">
        <v>353</v>
      </c>
      <c r="C57" s="161">
        <f>IFERROR(VLOOKUP(B57,'2. VOS DONNEES'!$D$255:$E$269,2,FALSE),0)</f>
        <v>0</v>
      </c>
      <c r="D57" s="8" t="s">
        <v>1033</v>
      </c>
      <c r="J57" s="42" t="s">
        <v>1184</v>
      </c>
      <c r="K57" s="35">
        <v>1</v>
      </c>
      <c r="L57" s="35">
        <v>1.5</v>
      </c>
      <c r="M57" s="36">
        <v>1.5</v>
      </c>
      <c r="N57" s="170">
        <f t="shared" si="0"/>
        <v>0</v>
      </c>
      <c r="O57" s="171">
        <f t="shared" si="1"/>
        <v>0</v>
      </c>
    </row>
    <row r="58" spans="2:16" ht="15.75" thickBot="1" x14ac:dyDescent="0.3">
      <c r="B58" s="159" t="s">
        <v>352</v>
      </c>
      <c r="C58" s="161">
        <f>IFERROR(VLOOKUP(B58,'2. VOS DONNEES'!$D$255:$E$269,2,FALSE),0)</f>
        <v>0</v>
      </c>
      <c r="D58" s="8" t="s">
        <v>1033</v>
      </c>
      <c r="J58" s="41" t="s">
        <v>1185</v>
      </c>
      <c r="K58" s="40">
        <v>1</v>
      </c>
      <c r="L58" s="35" t="s">
        <v>1179</v>
      </c>
      <c r="M58" s="36">
        <v>1.5</v>
      </c>
      <c r="N58" s="170">
        <f t="shared" si="0"/>
        <v>0</v>
      </c>
      <c r="O58" s="171">
        <f t="shared" si="1"/>
        <v>0</v>
      </c>
    </row>
    <row r="59" spans="2:16" ht="21.6" customHeight="1" thickBot="1" x14ac:dyDescent="0.3">
      <c r="B59" s="13" t="s">
        <v>922</v>
      </c>
      <c r="C59" s="161">
        <f>IFERROR(VLOOKUP(B59,'2. VOS DONNEES'!$D$255:$E$269,2,FALSE),0)</f>
        <v>0</v>
      </c>
      <c r="D59" s="8" t="s">
        <v>1033</v>
      </c>
      <c r="J59" s="41" t="s">
        <v>1186</v>
      </c>
      <c r="K59" s="35">
        <v>1</v>
      </c>
      <c r="L59" s="35">
        <v>1.5</v>
      </c>
      <c r="M59" s="36">
        <v>1.5</v>
      </c>
      <c r="N59" s="170">
        <f t="shared" si="0"/>
        <v>0</v>
      </c>
      <c r="O59" s="171">
        <f t="shared" si="1"/>
        <v>0</v>
      </c>
    </row>
    <row r="60" spans="2:16" ht="21.6" customHeight="1" thickBot="1" x14ac:dyDescent="0.3">
      <c r="B60" s="13" t="s">
        <v>918</v>
      </c>
      <c r="C60" s="161">
        <f>IFERROR(VLOOKUP(B60,'2. VOS DONNEES'!$D$255:$E$269,2,FALSE),0)</f>
        <v>0</v>
      </c>
      <c r="D60" s="8" t="s">
        <v>1033</v>
      </c>
      <c r="J60" s="41" t="s">
        <v>918</v>
      </c>
      <c r="K60" s="35">
        <v>1</v>
      </c>
      <c r="L60" s="35" t="s">
        <v>1179</v>
      </c>
      <c r="M60" s="36">
        <v>1.5</v>
      </c>
      <c r="N60" s="170">
        <f t="shared" si="0"/>
        <v>0</v>
      </c>
      <c r="O60" s="171">
        <f t="shared" si="1"/>
        <v>0</v>
      </c>
    </row>
    <row r="61" spans="2:16" ht="21.6" customHeight="1" thickBot="1" x14ac:dyDescent="0.3">
      <c r="B61" s="13" t="s">
        <v>924</v>
      </c>
      <c r="C61" s="161">
        <f>IFERROR(VLOOKUP(B61,'2. VOS DONNEES'!$D$255:$E$269,2,FALSE),0)</f>
        <v>0</v>
      </c>
      <c r="D61" s="8" t="s">
        <v>1033</v>
      </c>
      <c r="J61" s="41" t="s">
        <v>924</v>
      </c>
      <c r="K61" s="35">
        <v>1</v>
      </c>
      <c r="L61" s="35">
        <v>1.5</v>
      </c>
      <c r="M61" s="36">
        <v>1.5</v>
      </c>
      <c r="N61" s="170">
        <f t="shared" si="0"/>
        <v>0</v>
      </c>
      <c r="O61" s="171">
        <f t="shared" si="1"/>
        <v>0</v>
      </c>
    </row>
    <row r="62" spans="2:16" ht="16.899999999999999" customHeight="1" thickBot="1" x14ac:dyDescent="0.3">
      <c r="B62" s="13" t="s">
        <v>921</v>
      </c>
      <c r="C62" s="161">
        <f>IFERROR(VLOOKUP(B62,'2. VOS DONNEES'!$D$255:$E$269,2,FALSE),0)</f>
        <v>0</v>
      </c>
      <c r="D62" s="8" t="s">
        <v>1033</v>
      </c>
      <c r="J62" s="41" t="s">
        <v>921</v>
      </c>
      <c r="K62" s="37">
        <v>1</v>
      </c>
      <c r="L62" s="38">
        <v>1</v>
      </c>
      <c r="M62" s="39">
        <v>1</v>
      </c>
      <c r="N62" s="170">
        <f t="shared" si="0"/>
        <v>0</v>
      </c>
      <c r="O62" s="171">
        <f t="shared" si="1"/>
        <v>0</v>
      </c>
    </row>
    <row r="63" spans="2:16" ht="16.5" customHeight="1" thickBot="1" x14ac:dyDescent="0.3">
      <c r="B63" s="13" t="s">
        <v>934</v>
      </c>
      <c r="C63" s="161">
        <f>IFERROR(VLOOKUP(B63,'2. VOS DONNEES'!$D$255:$E$269,2,FALSE),0)</f>
        <v>0</v>
      </c>
      <c r="D63" s="8" t="s">
        <v>1172</v>
      </c>
      <c r="J63" s="41" t="s">
        <v>1187</v>
      </c>
      <c r="K63" s="35">
        <v>1</v>
      </c>
      <c r="L63" s="35">
        <v>1</v>
      </c>
      <c r="M63" s="36">
        <f>1/10000</f>
        <v>1E-4</v>
      </c>
      <c r="N63" s="170">
        <f t="shared" si="0"/>
        <v>0</v>
      </c>
      <c r="O63" s="171">
        <f t="shared" si="1"/>
        <v>0</v>
      </c>
    </row>
    <row r="64" spans="2:16" ht="15.75" thickBot="1" x14ac:dyDescent="0.3">
      <c r="B64" s="13" t="s">
        <v>919</v>
      </c>
      <c r="C64" s="161">
        <f>IFERROR(VLOOKUP(B64,'2. VOS DONNEES'!$D$255:$E$269,2,FALSE),0)</f>
        <v>0</v>
      </c>
      <c r="D64" s="8" t="s">
        <v>1033</v>
      </c>
      <c r="J64" s="41" t="s">
        <v>1188</v>
      </c>
      <c r="K64" s="37">
        <v>1</v>
      </c>
      <c r="L64" s="38">
        <v>1</v>
      </c>
      <c r="M64" s="39">
        <v>1</v>
      </c>
      <c r="N64" s="170">
        <f t="shared" si="0"/>
        <v>0</v>
      </c>
      <c r="O64" s="171">
        <f>N64*M64</f>
        <v>0</v>
      </c>
      <c r="P64" s="34"/>
    </row>
    <row r="65" spans="2:16" ht="18" customHeight="1" thickBot="1" x14ac:dyDescent="0.3">
      <c r="B65" s="159" t="s">
        <v>952</v>
      </c>
      <c r="C65" s="161">
        <f>IF('2. VOS DONNEES'!E162="OUI",'CALCUL - MAEC CereP'!B33,0)</f>
        <v>0</v>
      </c>
      <c r="D65" s="8" t="s">
        <v>1033</v>
      </c>
      <c r="J65" s="41" t="s">
        <v>1189</v>
      </c>
      <c r="K65" s="35">
        <v>1</v>
      </c>
      <c r="L65" s="35">
        <v>1.5</v>
      </c>
      <c r="M65" s="36">
        <v>1.5</v>
      </c>
      <c r="N65" s="170">
        <f t="shared" si="0"/>
        <v>0</v>
      </c>
      <c r="O65" s="171">
        <f>C65*M65</f>
        <v>0</v>
      </c>
    </row>
    <row r="66" spans="2:16" ht="21.6" customHeight="1" thickBot="1" x14ac:dyDescent="0.3">
      <c r="B66" s="665" t="s">
        <v>927</v>
      </c>
      <c r="C66" s="161">
        <f>IFERROR(VLOOKUP(B66,'2. VOS DONNEES'!$D$255:$E$269,2,FALSE),0)</f>
        <v>0</v>
      </c>
      <c r="D66" s="8" t="s">
        <v>1033</v>
      </c>
      <c r="J66" s="41" t="s">
        <v>1190</v>
      </c>
      <c r="K66" s="35">
        <v>1</v>
      </c>
      <c r="L66" s="35">
        <v>0.3</v>
      </c>
      <c r="M66" s="36">
        <v>0.3</v>
      </c>
      <c r="N66" s="170">
        <f t="shared" si="0"/>
        <v>0</v>
      </c>
      <c r="O66" s="171">
        <f>C66*M66</f>
        <v>0</v>
      </c>
    </row>
    <row r="67" spans="2:16" ht="15.75" thickBot="1" x14ac:dyDescent="0.3">
      <c r="B67" s="665" t="s">
        <v>926</v>
      </c>
      <c r="C67" s="161">
        <f>IFERROR(VLOOKUP(B67,'2. VOS DONNEES'!$D$255:$E$269,2,FALSE),0)</f>
        <v>0</v>
      </c>
      <c r="D67" s="8" t="s">
        <v>1033</v>
      </c>
      <c r="J67" s="41" t="s">
        <v>1191</v>
      </c>
      <c r="K67" s="35">
        <v>1</v>
      </c>
      <c r="L67" s="35">
        <v>0.3</v>
      </c>
      <c r="M67" s="36">
        <v>0.3</v>
      </c>
      <c r="N67" s="170">
        <f t="shared" si="0"/>
        <v>0</v>
      </c>
      <c r="O67" s="171">
        <f>C67*M67</f>
        <v>0</v>
      </c>
    </row>
    <row r="68" spans="2:16" ht="15.75" thickBot="1" x14ac:dyDescent="0.3">
      <c r="B68" s="666" t="s">
        <v>1192</v>
      </c>
      <c r="C68" s="161">
        <f>IF('2. VOS DONNEES'!E134="oui",'2. VOS DONNEES'!E135,0)*1</f>
        <v>0</v>
      </c>
      <c r="D68" s="208" t="s">
        <v>1033</v>
      </c>
      <c r="J68" s="668" t="s">
        <v>953</v>
      </c>
      <c r="K68" s="35">
        <v>1</v>
      </c>
      <c r="L68" s="35">
        <v>1</v>
      </c>
      <c r="M68" s="36">
        <v>1</v>
      </c>
      <c r="N68" s="667">
        <f t="shared" si="0"/>
        <v>0</v>
      </c>
      <c r="O68" s="669">
        <f>C68*M68</f>
        <v>0</v>
      </c>
    </row>
    <row r="69" spans="2:16" ht="51.6" customHeight="1" thickBot="1" x14ac:dyDescent="0.3">
      <c r="D69" s="2"/>
    </row>
    <row r="70" spans="2:16" ht="62.25" customHeight="1" thickBot="1" x14ac:dyDescent="0.4">
      <c r="B70" s="680" t="s">
        <v>1193</v>
      </c>
      <c r="C70" s="681" t="s">
        <v>1194</v>
      </c>
      <c r="D70" s="682"/>
    </row>
    <row r="71" spans="2:16" ht="62.25" customHeight="1" thickBot="1" x14ac:dyDescent="0.3">
      <c r="B71" s="671" t="s">
        <v>1195</v>
      </c>
      <c r="C71" s="672">
        <f>SUM(O48:O65)</f>
        <v>0</v>
      </c>
      <c r="D71" s="634" t="s">
        <v>1033</v>
      </c>
      <c r="E71" s="952">
        <f>+C71</f>
        <v>0</v>
      </c>
      <c r="F71" t="s">
        <v>1196</v>
      </c>
      <c r="P71" s="670"/>
    </row>
    <row r="72" spans="2:16" ht="58.5" customHeight="1" thickBot="1" x14ac:dyDescent="0.3">
      <c r="B72" s="17" t="s">
        <v>1197</v>
      </c>
      <c r="C72" s="164">
        <f>C71+O68</f>
        <v>0</v>
      </c>
      <c r="D72" s="18" t="s">
        <v>1033</v>
      </c>
      <c r="O72" s="2"/>
    </row>
    <row r="73" spans="2:16" ht="17.25" customHeight="1" thickBot="1" x14ac:dyDescent="0.3">
      <c r="B73" s="17" t="s">
        <v>1198</v>
      </c>
      <c r="C73" s="164">
        <f>SUM(O66:O67)</f>
        <v>0</v>
      </c>
      <c r="D73" s="18" t="s">
        <v>1033</v>
      </c>
    </row>
    <row r="74" spans="2:16" ht="15.75" thickBot="1" x14ac:dyDescent="0.3">
      <c r="B74" s="17" t="s">
        <v>1199</v>
      </c>
      <c r="C74" s="165">
        <f>C6</f>
        <v>0</v>
      </c>
      <c r="D74" s="18">
        <v>0</v>
      </c>
      <c r="E74" s="953">
        <f>+C74</f>
        <v>0</v>
      </c>
    </row>
    <row r="75" spans="2:16" ht="15.75" thickBot="1" x14ac:dyDescent="0.3"/>
    <row r="76" spans="2:16" ht="21.75" thickBot="1" x14ac:dyDescent="0.4">
      <c r="B76" s="680" t="s">
        <v>1200</v>
      </c>
      <c r="C76" s="681"/>
      <c r="D76" s="682" t="s">
        <v>1164</v>
      </c>
    </row>
    <row r="77" spans="2:16" ht="15.75" thickBot="1" x14ac:dyDescent="0.3">
      <c r="B77" s="1119" t="s">
        <v>1201</v>
      </c>
      <c r="C77" s="1120" t="str">
        <f>'2. VOS DONNEES'!E134</f>
        <v>OUI</v>
      </c>
      <c r="D77" s="1121">
        <f>IF(C77="OUI",1,0)</f>
        <v>1</v>
      </c>
    </row>
    <row r="78" spans="2:16" ht="15.75" thickBot="1" x14ac:dyDescent="0.3">
      <c r="B78" s="166" t="s">
        <v>1202</v>
      </c>
      <c r="C78" s="504" t="str">
        <f>IF(C79&gt;=0.04,"Condition satisfaite","Condition non satisfaite")</f>
        <v>Condition non satisfaite</v>
      </c>
      <c r="D78" s="504">
        <f>IF(C78="Condition satisfaite",1,0)</f>
        <v>0</v>
      </c>
    </row>
    <row r="79" spans="2:16" ht="38.25" customHeight="1" thickBot="1" x14ac:dyDescent="0.3">
      <c r="B79" s="29" t="s">
        <v>1203</v>
      </c>
      <c r="C79" s="508">
        <f>IFERROR(C72/C74,0)</f>
        <v>0</v>
      </c>
      <c r="D79" s="18" t="s">
        <v>1156</v>
      </c>
    </row>
    <row r="80" spans="2:16" ht="38.25" customHeight="1" x14ac:dyDescent="0.25">
      <c r="B80" s="947" t="s">
        <v>1204</v>
      </c>
      <c r="C80" s="948" t="str">
        <f>+IF(D77*D78=1,"EN ORDRE","PAS EN ORDRE")</f>
        <v>PAS EN ORDRE</v>
      </c>
      <c r="D80" s="928"/>
    </row>
    <row r="81" spans="2:10" ht="69" customHeight="1" x14ac:dyDescent="0.25">
      <c r="B81" t="s">
        <v>1205</v>
      </c>
      <c r="C81" t="e">
        <f>C71/C74</f>
        <v>#DIV/0!</v>
      </c>
    </row>
    <row r="82" spans="2:10" ht="69" customHeight="1" x14ac:dyDescent="0.25"/>
    <row r="83" spans="2:10" ht="45" customHeight="1" thickBot="1" x14ac:dyDescent="0.3">
      <c r="D83" t="s">
        <v>1206</v>
      </c>
      <c r="E83" s="2" t="s">
        <v>1207</v>
      </c>
      <c r="F83" t="s">
        <v>421</v>
      </c>
      <c r="J83" t="s">
        <v>1206</v>
      </c>
    </row>
    <row r="84" spans="2:10" ht="30.75" thickBot="1" x14ac:dyDescent="0.3">
      <c r="B84" s="166" t="s">
        <v>1208</v>
      </c>
      <c r="C84" s="504" t="str">
        <f>IF(C85&gt;=0.04,"Condition satisfaite","Condition non satisfaite")</f>
        <v>Condition non satisfaite</v>
      </c>
      <c r="D84" s="504">
        <f>IF(C84="Condition satisfaite",1,0)</f>
        <v>0</v>
      </c>
      <c r="E84" s="2">
        <f>IF(C79&gt;=0.04,1,0)</f>
        <v>0</v>
      </c>
      <c r="F84" s="954">
        <f>+D84+E84</f>
        <v>0</v>
      </c>
    </row>
    <row r="85" spans="2:10" ht="94.5" customHeight="1" thickBot="1" x14ac:dyDescent="0.3">
      <c r="B85" s="29" t="s">
        <v>1209</v>
      </c>
      <c r="C85" s="508">
        <f>IFERROR(C71/C74,0)</f>
        <v>0</v>
      </c>
      <c r="D85" s="18" t="s">
        <v>1156</v>
      </c>
      <c r="E85" s="949" t="e">
        <f>+C81</f>
        <v>#DIV/0!</v>
      </c>
    </row>
    <row r="86" spans="2:10" ht="94.5" customHeight="1" x14ac:dyDescent="0.25">
      <c r="B86" s="950"/>
      <c r="C86" s="951"/>
      <c r="D86" s="928"/>
    </row>
    <row r="87" spans="2:10" ht="25.5" customHeight="1" thickBot="1" x14ac:dyDescent="0.3">
      <c r="D87" t="s">
        <v>1206</v>
      </c>
      <c r="E87" s="2" t="s">
        <v>1207</v>
      </c>
    </row>
    <row r="88" spans="2:10" ht="30" customHeight="1" thickBot="1" x14ac:dyDescent="0.3">
      <c r="B88" s="504" t="s">
        <v>1210</v>
      </c>
      <c r="C88" s="504" t="str">
        <f>IFERROR(IF(AND(C89&gt;=3%,C90&gt;=4%),"Condition satisfaite","Condition non satisfaite"),"-")</f>
        <v>Condition non satisfaite</v>
      </c>
      <c r="D88" s="504">
        <f>IF(C88="Condition satisfaite",1,0)</f>
        <v>0</v>
      </c>
      <c r="E88" s="504">
        <f>IFERROR(IF(AND(E89&gt;=3%,E90&gt;=4%),1,0),"-")</f>
        <v>0</v>
      </c>
      <c r="F88">
        <f>+D88+E88</f>
        <v>0</v>
      </c>
    </row>
    <row r="89" spans="2:10" ht="35.25" customHeight="1" thickBot="1" x14ac:dyDescent="0.3">
      <c r="B89" s="29" t="s">
        <v>1211</v>
      </c>
      <c r="C89" s="508">
        <f>C85</f>
        <v>0</v>
      </c>
      <c r="D89" s="8" t="s">
        <v>1156</v>
      </c>
      <c r="E89" s="949">
        <f>C85</f>
        <v>0</v>
      </c>
    </row>
    <row r="90" spans="2:10" ht="122.25" customHeight="1" thickBot="1" x14ac:dyDescent="0.3">
      <c r="B90" s="29" t="s">
        <v>1212</v>
      </c>
      <c r="C90" s="508">
        <f>IFERROR(C73/C74,0)</f>
        <v>0</v>
      </c>
      <c r="D90" s="8" t="s">
        <v>1156</v>
      </c>
      <c r="E90" s="949">
        <f>C90</f>
        <v>0</v>
      </c>
    </row>
    <row r="91" spans="2:10" ht="26.25" customHeight="1" x14ac:dyDescent="0.25"/>
    <row r="93" spans="2:10" ht="15.75" thickBot="1" x14ac:dyDescent="0.3">
      <c r="D93" t="s">
        <v>1213</v>
      </c>
      <c r="E93" s="2" t="s">
        <v>1207</v>
      </c>
    </row>
    <row r="94" spans="2:10" ht="114.75" customHeight="1" thickBot="1" x14ac:dyDescent="0.3">
      <c r="B94" s="168" t="s">
        <v>1214</v>
      </c>
      <c r="C94" s="167" t="str">
        <f>IF(AND(C85&gt;=0.07,C85&gt;=0.03),"Condition satisfaite","Condition non satisfaite")</f>
        <v>Condition non satisfaite</v>
      </c>
      <c r="D94" s="504">
        <f>IF(C94="Condition satisfaite",1,0)</f>
        <v>0</v>
      </c>
      <c r="E94" s="167" t="e">
        <f>IF(AND(E85&gt;=0.07,E85&gt;=0.03),1,0)</f>
        <v>#DIV/0!</v>
      </c>
      <c r="F94" t="e">
        <f>+D94+E94</f>
        <v>#DIV/0!</v>
      </c>
    </row>
    <row r="95" spans="2:10" ht="15.75" thickBot="1" x14ac:dyDescent="0.3">
      <c r="B95" s="33" t="s">
        <v>1215</v>
      </c>
      <c r="C95" s="169" t="str">
        <f>'2. VOS DONNEES'!E284</f>
        <v>NON</v>
      </c>
      <c r="D95" s="25" t="s">
        <v>1216</v>
      </c>
    </row>
    <row r="96" spans="2:10" ht="21" customHeight="1" thickBot="1" x14ac:dyDescent="0.3">
      <c r="B96" s="33" t="s">
        <v>1217</v>
      </c>
      <c r="C96" s="169" t="str">
        <f>IFERROR(IF(C71/C74&gt;=0.07,"OUI","NON"),"-")</f>
        <v>-</v>
      </c>
      <c r="D96" s="25" t="s">
        <v>1163</v>
      </c>
      <c r="E96" s="169" t="str">
        <f>IFERROR(IF(E71/E74&gt;=0.07,"OUI","NON"),"-")</f>
        <v>-</v>
      </c>
    </row>
    <row r="99" spans="2:5" ht="15.75" thickBot="1" x14ac:dyDescent="0.3"/>
    <row r="100" spans="2:5" ht="44.25" customHeight="1" thickBot="1" x14ac:dyDescent="0.4">
      <c r="B100" s="687" t="s">
        <v>1218</v>
      </c>
      <c r="C100" s="912" t="e">
        <f>IF(OR(D45=1,F94+F88+F84&gt;=1),"BCAE 8 EN ORDRE","BCAE 8 PAS EN ORDRE")</f>
        <v>#DIV/0!</v>
      </c>
      <c r="D100" s="913"/>
      <c r="E100"/>
    </row>
    <row r="101" spans="2:5" ht="53.25" customHeight="1" thickBot="1" x14ac:dyDescent="0.3">
      <c r="B101" s="23" t="s">
        <v>1219</v>
      </c>
      <c r="C101" s="22" t="e">
        <f>IF(D101&gt;=1,"VOUS ETES EN ORDRE PAR RAPPORT A LA BCAE8", "VOUS N'ETES PAS EN ORDRE PAR RAPPORT A LA BCAE8")</f>
        <v>#DIV/0!</v>
      </c>
      <c r="D101" s="673" t="e">
        <f>IF(OR(D45=1,SUM(D94+D88+D84)&gt;=1),1,0)</f>
        <v>#DIV/0!</v>
      </c>
    </row>
    <row r="103" spans="2:5" ht="15.75" thickBot="1" x14ac:dyDescent="0.3"/>
    <row r="104" spans="2:5" ht="43.5" customHeight="1" thickBot="1" x14ac:dyDescent="0.3">
      <c r="B104" s="23" t="s">
        <v>365</v>
      </c>
      <c r="C104" s="22" t="e">
        <f>IF(D104="KO","NON ELIGIBLE ER MAILLAGE","ELIGIBLE ER MAILLAGE")</f>
        <v>#DIV/0!</v>
      </c>
      <c r="D104" s="673" t="e">
        <f>IF(OR(D45=1,SUM(D94+D88+D84)&gt;=1),"ok","ko")</f>
        <v>#DIV/0!</v>
      </c>
    </row>
    <row r="106" spans="2:5" ht="15.75" thickBot="1" x14ac:dyDescent="0.3"/>
    <row r="107" spans="2:5" ht="21.75" thickBot="1" x14ac:dyDescent="0.4">
      <c r="B107" s="687" t="s">
        <v>1220</v>
      </c>
    </row>
  </sheetData>
  <sheetProtection sheet="1" objects="1" scenarios="1"/>
  <sortState xmlns:xlrd2="http://schemas.microsoft.com/office/spreadsheetml/2017/richdata2" ref="B48:D65">
    <sortCondition ref="B48:B65"/>
  </sortState>
  <conditionalFormatting sqref="D84">
    <cfRule type="cellIs" dxfId="14" priority="17" operator="equal">
      <formula>0</formula>
    </cfRule>
    <cfRule type="cellIs" dxfId="13" priority="20" operator="greaterThan">
      <formula>0</formula>
    </cfRule>
  </conditionalFormatting>
  <conditionalFormatting sqref="D88">
    <cfRule type="cellIs" dxfId="12" priority="15" operator="equal">
      <formula>0</formula>
    </cfRule>
    <cfRule type="cellIs" dxfId="11" priority="16" operator="greaterThan">
      <formula>0</formula>
    </cfRule>
  </conditionalFormatting>
  <conditionalFormatting sqref="D94">
    <cfRule type="cellIs" dxfId="10" priority="13" operator="equal">
      <formula>0</formula>
    </cfRule>
    <cfRule type="cellIs" dxfId="9" priority="14" operator="greaterThan">
      <formula>0</formula>
    </cfRule>
  </conditionalFormatting>
  <conditionalFormatting sqref="D101">
    <cfRule type="cellIs" dxfId="8" priority="9" operator="equal">
      <formula>0</formula>
    </cfRule>
    <cfRule type="cellIs" dxfId="7" priority="10" operator="greaterThan">
      <formula>0</formula>
    </cfRule>
  </conditionalFormatting>
  <conditionalFormatting sqref="D45">
    <cfRule type="cellIs" dxfId="6" priority="5" operator="equal">
      <formula>0</formula>
    </cfRule>
    <cfRule type="cellIs" dxfId="5" priority="6" operator="equal">
      <formula>1</formula>
    </cfRule>
  </conditionalFormatting>
  <conditionalFormatting sqref="D77:D78">
    <cfRule type="cellIs" dxfId="4" priority="3" operator="equal">
      <formula>0</formula>
    </cfRule>
    <cfRule type="cellIs" dxfId="3" priority="4" operator="greaterThan">
      <formula>0</formula>
    </cfRule>
  </conditionalFormatting>
  <conditionalFormatting sqref="D104">
    <cfRule type="cellIs" dxfId="2" priority="1" operator="equal">
      <formula>0</formula>
    </cfRule>
    <cfRule type="cellIs" dxfId="1" priority="2" operator="greaterThan">
      <formula>0</formula>
    </cfRule>
  </conditionalFormatting>
  <printOptions headings="1"/>
  <pageMargins left="0.70866141732283472" right="0.70866141732283472" top="0.74803149606299213" bottom="0.74803149606299213" header="0.31496062992125984" footer="0.31496062992125984"/>
  <pageSetup paperSize="8" scale="30" orientation="landscape" r:id="rId1"/>
  <legacyDrawing r:id="rId2"/>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BBCC3E-1292-48A5-8A85-79BC02CFFAD3}">
  <sheetPr codeName="Feuil6">
    <pageSetUpPr fitToPage="1"/>
  </sheetPr>
  <dimension ref="A1:N76"/>
  <sheetViews>
    <sheetView zoomScale="90" zoomScaleNormal="90" workbookViewId="0">
      <selection activeCell="C15" sqref="C15"/>
    </sheetView>
  </sheetViews>
  <sheetFormatPr baseColWidth="10" defaultColWidth="11.42578125" defaultRowHeight="15" x14ac:dyDescent="0.25"/>
  <cols>
    <col min="1" max="1" width="71.85546875" customWidth="1"/>
    <col min="2" max="2" width="25.85546875" customWidth="1"/>
    <col min="3" max="3" width="19.42578125" bestFit="1" customWidth="1"/>
    <col min="4" max="4" width="8.7109375" customWidth="1"/>
    <col min="5" max="7" width="5.5703125" customWidth="1"/>
    <col min="8" max="8" width="40.28515625" customWidth="1"/>
    <col min="9" max="9" width="19.28515625" customWidth="1"/>
    <col min="10" max="10" width="23.42578125" customWidth="1"/>
    <col min="11" max="11" width="17.7109375" customWidth="1"/>
    <col min="13" max="13" width="13.42578125" bestFit="1" customWidth="1"/>
  </cols>
  <sheetData>
    <row r="1" spans="1:11" ht="37.5" x14ac:dyDescent="0.25">
      <c r="A1" s="1" t="s">
        <v>1221</v>
      </c>
    </row>
    <row r="2" spans="1:11" ht="18.75" x14ac:dyDescent="0.25">
      <c r="A2" s="1"/>
    </row>
    <row r="3" spans="1:11" ht="19.5" thickBot="1" x14ac:dyDescent="0.3">
      <c r="A3" s="182" t="s">
        <v>1222</v>
      </c>
    </row>
    <row r="4" spans="1:11" ht="19.5" thickBot="1" x14ac:dyDescent="0.3">
      <c r="A4" s="180" t="s">
        <v>1223</v>
      </c>
      <c r="B4" s="453" t="e">
        <f>'CALCUL - BCAE8'!C104</f>
        <v>#DIV/0!</v>
      </c>
      <c r="C4" s="8" t="s">
        <v>1224</v>
      </c>
    </row>
    <row r="5" spans="1:11" ht="15.75" thickBot="1" x14ac:dyDescent="0.3">
      <c r="A5" s="179" t="s">
        <v>1225</v>
      </c>
      <c r="B5" s="250" t="str">
        <f>'2. VOS DONNEES'!E284</f>
        <v>NON</v>
      </c>
      <c r="C5" s="181" t="s">
        <v>1226</v>
      </c>
    </row>
    <row r="6" spans="1:11" ht="15.75" thickBot="1" x14ac:dyDescent="0.3">
      <c r="A6" s="55"/>
    </row>
    <row r="7" spans="1:11" ht="15.75" thickBot="1" x14ac:dyDescent="0.3">
      <c r="A7" s="152" t="s">
        <v>1227</v>
      </c>
    </row>
    <row r="8" spans="1:11" ht="15.75" thickBot="1" x14ac:dyDescent="0.3">
      <c r="A8" s="177" t="s">
        <v>1029</v>
      </c>
      <c r="B8" s="251" t="s">
        <v>62</v>
      </c>
      <c r="C8" s="178" t="s">
        <v>642</v>
      </c>
      <c r="I8" s="134"/>
      <c r="J8" s="134"/>
      <c r="K8" s="134"/>
    </row>
    <row r="9" spans="1:11" ht="15.75" thickBot="1" x14ac:dyDescent="0.3">
      <c r="A9" s="149" t="s">
        <v>26</v>
      </c>
      <c r="B9" s="252">
        <f>VLOOKUP('CALCUL - ER ME'!A9,'2. VOS DONNEES'!$D$6:$E$153,2,FALSE)</f>
        <v>0</v>
      </c>
      <c r="C9" s="8" t="s">
        <v>1033</v>
      </c>
    </row>
    <row r="10" spans="1:11" ht="15.75" thickBot="1" x14ac:dyDescent="0.3">
      <c r="A10" s="32" t="s">
        <v>27</v>
      </c>
      <c r="B10" s="252">
        <f>VLOOKUP('CALCUL - ER ME'!A10,'2. VOS DONNEES'!$D$6:$E$153,2,FALSE)</f>
        <v>0</v>
      </c>
      <c r="C10" s="8" t="s">
        <v>1033</v>
      </c>
    </row>
    <row r="11" spans="1:11" ht="15.75" thickBot="1" x14ac:dyDescent="0.3">
      <c r="A11" s="149" t="s">
        <v>29</v>
      </c>
      <c r="B11" s="252">
        <f>IFERROR(VLOOKUP('CALCUL - ER ME'!A11,'2. VOS DONNEES'!$D$6:$E$153,2,FALSE),0)</f>
        <v>0</v>
      </c>
      <c r="C11" s="8" t="s">
        <v>1033</v>
      </c>
    </row>
    <row r="12" spans="1:11" ht="15.75" thickBot="1" x14ac:dyDescent="0.3">
      <c r="A12" s="149" t="s">
        <v>1228</v>
      </c>
      <c r="B12" s="252">
        <f>IF('2. VOS DONNEES'!E134="OUI",'2. VOS DONNEES'!E135*-1,0)</f>
        <v>0</v>
      </c>
      <c r="C12" s="8" t="s">
        <v>1033</v>
      </c>
      <c r="G12" s="34"/>
    </row>
    <row r="14" spans="1:11" ht="15.75" thickBot="1" x14ac:dyDescent="0.3"/>
    <row r="15" spans="1:11" ht="15.75" thickBot="1" x14ac:dyDescent="0.3">
      <c r="A15" s="152" t="s">
        <v>1229</v>
      </c>
    </row>
    <row r="16" spans="1:11" ht="15.75" thickBot="1" x14ac:dyDescent="0.3">
      <c r="A16" s="153" t="s">
        <v>1230</v>
      </c>
      <c r="C16" t="s">
        <v>1231</v>
      </c>
    </row>
    <row r="17" spans="1:8" ht="15.75" thickBot="1" x14ac:dyDescent="0.3">
      <c r="A17" s="9" t="s">
        <v>921</v>
      </c>
      <c r="B17" s="252">
        <f>IFERROR(VLOOKUP(A17,'2. VOS DONNEES'!$D$255:$E$269,2,FALSE),0)</f>
        <v>0</v>
      </c>
      <c r="C17" s="19" t="s">
        <v>1033</v>
      </c>
      <c r="F17" s="240"/>
    </row>
    <row r="18" spans="1:8" ht="15.75" thickBot="1" x14ac:dyDescent="0.3">
      <c r="A18" s="9" t="s">
        <v>928</v>
      </c>
      <c r="B18" s="252">
        <f>IFERROR(VLOOKUP(A18,'2. VOS DONNEES'!$D$255:$E$269,2,FALSE),0)</f>
        <v>0</v>
      </c>
      <c r="C18" s="19" t="s">
        <v>1172</v>
      </c>
      <c r="F18" s="240"/>
      <c r="H18" s="142"/>
    </row>
    <row r="19" spans="1:8" ht="15.75" thickBot="1" x14ac:dyDescent="0.3">
      <c r="A19" s="9" t="s">
        <v>929</v>
      </c>
      <c r="B19" s="252">
        <f>IFERROR(VLOOKUP(A19,'2. VOS DONNEES'!$D$255:$E$269,2,FALSE),0)</f>
        <v>0</v>
      </c>
      <c r="C19" s="19" t="s">
        <v>63</v>
      </c>
      <c r="F19" s="240"/>
      <c r="H19" s="142"/>
    </row>
    <row r="20" spans="1:8" ht="17.25" customHeight="1" thickBot="1" x14ac:dyDescent="0.3">
      <c r="A20" s="9" t="s">
        <v>930</v>
      </c>
      <c r="B20" s="252">
        <f>IFERROR(VLOOKUP(A20,'2. VOS DONNEES'!$D$255:$E$269,2,FALSE),0)</f>
        <v>0</v>
      </c>
      <c r="C20" s="19" t="s">
        <v>63</v>
      </c>
      <c r="F20" s="240"/>
    </row>
    <row r="21" spans="1:8" ht="15.75" thickBot="1" x14ac:dyDescent="0.3">
      <c r="A21" s="9" t="s">
        <v>344</v>
      </c>
      <c r="B21" s="252">
        <f>IFERROR(VLOOKUP(A21,'2. VOS DONNEES'!$D$255:$E$269,2,FALSE),0)</f>
        <v>0</v>
      </c>
      <c r="C21" s="19" t="s">
        <v>1033</v>
      </c>
    </row>
    <row r="22" spans="1:8" ht="15.75" thickBot="1" x14ac:dyDescent="0.3">
      <c r="A22" s="9" t="s">
        <v>356</v>
      </c>
      <c r="B22" s="252">
        <f>IFERROR(VLOOKUP(A22,'2. VOS DONNEES'!$D$255:$E$269,2,FALSE),0)</f>
        <v>0</v>
      </c>
      <c r="C22" s="19" t="s">
        <v>63</v>
      </c>
    </row>
    <row r="23" spans="1:8" ht="15.75" thickBot="1" x14ac:dyDescent="0.3">
      <c r="A23" s="9" t="s">
        <v>357</v>
      </c>
      <c r="B23" s="252">
        <f>IFERROR(VLOOKUP(A23,'2. VOS DONNEES'!$D$255:$E$269,2,FALSE),0)</f>
        <v>0</v>
      </c>
      <c r="C23" s="19" t="s">
        <v>1172</v>
      </c>
    </row>
    <row r="24" spans="1:8" ht="15.75" thickBot="1" x14ac:dyDescent="0.3">
      <c r="A24" s="9" t="s">
        <v>358</v>
      </c>
      <c r="B24" s="252">
        <f>IFERROR(VLOOKUP(A24,'2. VOS DONNEES'!$D$255:$E$269,2,FALSE),0)</f>
        <v>0</v>
      </c>
      <c r="C24" s="19" t="s">
        <v>63</v>
      </c>
    </row>
    <row r="25" spans="1:8" ht="15.75" thickBot="1" x14ac:dyDescent="0.3">
      <c r="A25" s="9" t="s">
        <v>918</v>
      </c>
      <c r="B25" s="252">
        <f>IFERROR(VLOOKUP(A25,'2. VOS DONNEES'!$D$255:$E$269,2,FALSE),0)</f>
        <v>0</v>
      </c>
      <c r="C25" s="19" t="s">
        <v>1033</v>
      </c>
    </row>
    <row r="26" spans="1:8" ht="15.75" thickBot="1" x14ac:dyDescent="0.3">
      <c r="A26" s="9" t="s">
        <v>924</v>
      </c>
      <c r="B26" s="252">
        <f>IFERROR(VLOOKUP(A26,'2. VOS DONNEES'!$D$255:$E$269,2,FALSE),0)</f>
        <v>0</v>
      </c>
      <c r="C26" s="19" t="s">
        <v>1033</v>
      </c>
    </row>
    <row r="28" spans="1:8" ht="15.75" thickBot="1" x14ac:dyDescent="0.3">
      <c r="A28" s="154" t="s">
        <v>1232</v>
      </c>
    </row>
    <row r="29" spans="1:8" ht="15.75" customHeight="1" thickBot="1" x14ac:dyDescent="0.3">
      <c r="A29" s="9" t="s">
        <v>928</v>
      </c>
      <c r="B29" s="252">
        <f>IFERROR(VLOOKUP(A29,'2. VOS DONNEES'!$D$270:$E$277,2,FALSE),0)</f>
        <v>0</v>
      </c>
      <c r="C29" s="19" t="s">
        <v>1172</v>
      </c>
    </row>
    <row r="30" spans="1:8" ht="15.75" thickBot="1" x14ac:dyDescent="0.3">
      <c r="A30" s="9" t="s">
        <v>929</v>
      </c>
      <c r="B30" s="252">
        <f>IFERROR(VLOOKUP(A30,'2. VOS DONNEES'!$D$270:$E$277,2,FALSE),0)</f>
        <v>0</v>
      </c>
      <c r="C30" s="19" t="s">
        <v>63</v>
      </c>
    </row>
    <row r="31" spans="1:8" ht="15.75" thickBot="1" x14ac:dyDescent="0.3">
      <c r="A31" s="9" t="s">
        <v>930</v>
      </c>
      <c r="B31" s="252">
        <f>IFERROR(VLOOKUP(A31,'2. VOS DONNEES'!$D$270:$E$277,2,FALSE),0)</f>
        <v>0</v>
      </c>
      <c r="C31" s="19" t="s">
        <v>63</v>
      </c>
    </row>
    <row r="32" spans="1:8" ht="15.75" thickBot="1" x14ac:dyDescent="0.3">
      <c r="A32" s="9" t="s">
        <v>356</v>
      </c>
      <c r="B32" s="252">
        <f>IFERROR(VLOOKUP(A32,'2. VOS DONNEES'!$D$270:$E$277,2,FALSE),0)</f>
        <v>0</v>
      </c>
      <c r="C32" s="19" t="s">
        <v>63</v>
      </c>
    </row>
    <row r="33" spans="1:14" ht="15.75" thickBot="1" x14ac:dyDescent="0.3">
      <c r="A33" s="9" t="s">
        <v>344</v>
      </c>
      <c r="B33" s="252">
        <f>IFERROR(VLOOKUP(A33,'2. VOS DONNEES'!$D$270:$E$277,2,FALSE),0)</f>
        <v>0</v>
      </c>
      <c r="C33" s="19" t="s">
        <v>1033</v>
      </c>
    </row>
    <row r="34" spans="1:14" ht="15.75" thickBot="1" x14ac:dyDescent="0.3">
      <c r="A34" s="9" t="s">
        <v>357</v>
      </c>
      <c r="B34" s="252">
        <f>IFERROR(VLOOKUP(A34,'2. VOS DONNEES'!$D$270:$E$277,2,FALSE),0)</f>
        <v>0</v>
      </c>
      <c r="C34" s="19" t="s">
        <v>1172</v>
      </c>
    </row>
    <row r="35" spans="1:14" ht="15.75" thickBot="1" x14ac:dyDescent="0.3">
      <c r="A35" s="9" t="s">
        <v>358</v>
      </c>
      <c r="B35" s="252">
        <f>IFERROR(VLOOKUP(A35,'2. VOS DONNEES'!$D$270:$E$277,2,FALSE),0)</f>
        <v>0</v>
      </c>
      <c r="C35" s="19" t="s">
        <v>63</v>
      </c>
    </row>
    <row r="36" spans="1:14" ht="15.75" thickBot="1" x14ac:dyDescent="0.3">
      <c r="A36" s="104" t="s">
        <v>937</v>
      </c>
      <c r="B36" s="252">
        <f>IFERROR(VLOOKUP(A36,'2. VOS DONNEES'!$D$270:$E$277,2,FALSE),0)</f>
        <v>0</v>
      </c>
      <c r="C36" s="19" t="s">
        <v>1033</v>
      </c>
    </row>
    <row r="38" spans="1:14" ht="15.75" thickBot="1" x14ac:dyDescent="0.3">
      <c r="A38" s="155" t="s">
        <v>1233</v>
      </c>
    </row>
    <row r="39" spans="1:14" ht="15.75" customHeight="1" thickBot="1" x14ac:dyDescent="0.3">
      <c r="A39" s="9" t="s">
        <v>928</v>
      </c>
      <c r="B39" s="252">
        <f>IFERROR(VLOOKUP(A39,'2. VOS DONNEES'!$D$278:$E$283,2,FALSE),0)</f>
        <v>0</v>
      </c>
      <c r="C39" s="19" t="s">
        <v>1172</v>
      </c>
    </row>
    <row r="40" spans="1:14" ht="15.75" thickBot="1" x14ac:dyDescent="0.3">
      <c r="A40" s="9" t="s">
        <v>929</v>
      </c>
      <c r="B40" s="252">
        <f>IFERROR(VLOOKUP(A40,'2. VOS DONNEES'!$D$278:$E$283,2,FALSE),0)</f>
        <v>0</v>
      </c>
      <c r="C40" s="19" t="s">
        <v>63</v>
      </c>
    </row>
    <row r="41" spans="1:14" ht="15.75" thickBot="1" x14ac:dyDescent="0.3">
      <c r="A41" s="9" t="s">
        <v>930</v>
      </c>
      <c r="B41" s="252">
        <f>IFERROR(VLOOKUP(A41,'2. VOS DONNEES'!$D$278:$E$283,2,FALSE),0)</f>
        <v>0</v>
      </c>
      <c r="C41" s="19" t="s">
        <v>63</v>
      </c>
    </row>
    <row r="42" spans="1:14" ht="15.75" thickBot="1" x14ac:dyDescent="0.3">
      <c r="A42" s="9" t="s">
        <v>356</v>
      </c>
      <c r="B42" s="252">
        <f>IFERROR(VLOOKUP(A42,'2. VOS DONNEES'!$D$278:$E$283,2,FALSE),0)</f>
        <v>0</v>
      </c>
      <c r="C42" s="19" t="s">
        <v>63</v>
      </c>
    </row>
    <row r="43" spans="1:14" ht="15.75" thickBot="1" x14ac:dyDescent="0.3">
      <c r="A43" s="9" t="s">
        <v>344</v>
      </c>
      <c r="B43" s="252">
        <f>IFERROR(VLOOKUP(A43,'2. VOS DONNEES'!$D$278:$E$283,2,FALSE),0)</f>
        <v>0</v>
      </c>
      <c r="C43" s="19" t="s">
        <v>1033</v>
      </c>
    </row>
    <row r="44" spans="1:14" ht="15.75" thickBot="1" x14ac:dyDescent="0.3">
      <c r="A44" s="9" t="s">
        <v>357</v>
      </c>
      <c r="B44" s="252">
        <f>IFERROR(VLOOKUP(A44,'2. VOS DONNEES'!$D$278:$E$283,2,FALSE),0)</f>
        <v>0</v>
      </c>
      <c r="C44" s="19" t="s">
        <v>1172</v>
      </c>
    </row>
    <row r="45" spans="1:14" ht="15.75" thickBot="1" x14ac:dyDescent="0.3">
      <c r="A45" s="9" t="s">
        <v>358</v>
      </c>
      <c r="B45" s="252">
        <f>IFERROR(VLOOKUP(A45,'2. VOS DONNEES'!$D$278:$E$283,2,FALSE),0)</f>
        <v>0</v>
      </c>
      <c r="C45" s="19" t="s">
        <v>63</v>
      </c>
    </row>
    <row r="46" spans="1:14" ht="15.75" thickBot="1" x14ac:dyDescent="0.3">
      <c r="C46" s="20"/>
    </row>
    <row r="47" spans="1:14" ht="27.75" customHeight="1" thickBot="1" x14ac:dyDescent="0.3">
      <c r="A47" s="156" t="s">
        <v>1234</v>
      </c>
      <c r="B47" t="s">
        <v>659</v>
      </c>
      <c r="H47" s="156" t="str">
        <f>A47</f>
        <v>Rubrique 3.4. Calcul des Hectares environnementaux</v>
      </c>
      <c r="I47" s="257" t="s">
        <v>1235</v>
      </c>
      <c r="J47" s="257" t="s">
        <v>1236</v>
      </c>
      <c r="K47" s="257" t="s">
        <v>1237</v>
      </c>
      <c r="L47" s="154" t="s">
        <v>452</v>
      </c>
      <c r="M47" s="154" t="s">
        <v>1238</v>
      </c>
      <c r="N47" s="154" t="s">
        <v>1239</v>
      </c>
    </row>
    <row r="48" spans="1:14" ht="15.75" thickBot="1" x14ac:dyDescent="0.3">
      <c r="A48" s="9" t="s">
        <v>928</v>
      </c>
      <c r="B48" s="252">
        <f>VLOOKUP(A48,$H$48:$N$58,7,FALSE)</f>
        <v>0</v>
      </c>
      <c r="C48" s="1532" t="s">
        <v>1033</v>
      </c>
      <c r="H48" s="79" t="s">
        <v>928</v>
      </c>
      <c r="I48" s="258">
        <f>VLOOKUP(H48,$A$17:$B$26,2,FALSE)</f>
        <v>0</v>
      </c>
      <c r="J48" s="260">
        <f>VLOOKUP(H48,$A$29:$B$36,2,FALSE)</f>
        <v>0</v>
      </c>
      <c r="K48" s="260">
        <f>VLOOKUP(H48,$A$39:$B$45,2,FALSE)</f>
        <v>0</v>
      </c>
      <c r="L48" s="260">
        <f>+SUM(I48:K48)</f>
        <v>0</v>
      </c>
      <c r="M48" s="260">
        <v>1E-3</v>
      </c>
      <c r="N48" s="260">
        <f t="shared" ref="N48:N58" si="0">+L48*M48</f>
        <v>0</v>
      </c>
    </row>
    <row r="49" spans="1:14" ht="15.75" thickBot="1" x14ac:dyDescent="0.3">
      <c r="A49" s="9" t="s">
        <v>929</v>
      </c>
      <c r="B49" s="252">
        <f t="shared" ref="B49:B57" si="1">VLOOKUP(A49,$H$48:$N$58,7,FALSE)</f>
        <v>0</v>
      </c>
      <c r="C49" s="1533"/>
      <c r="H49" s="79" t="s">
        <v>929</v>
      </c>
      <c r="I49" s="258">
        <f t="shared" ref="I49:I55" si="2">VLOOKUP(H49,$A$17:$B$26,2,FALSE)</f>
        <v>0</v>
      </c>
      <c r="J49" s="260">
        <f>VLOOKUP(H49,$A$29:$B$36,2,FALSE)</f>
        <v>0</v>
      </c>
      <c r="K49" s="260">
        <f>VLOOKUP(H49,$A$39:$B$45,2,FALSE)</f>
        <v>0</v>
      </c>
      <c r="L49" s="260">
        <f t="shared" ref="L49:L57" si="3">+SUM(I49:K49)</f>
        <v>0</v>
      </c>
      <c r="M49" s="260">
        <f>30/10000</f>
        <v>3.0000000000000001E-3</v>
      </c>
      <c r="N49" s="260">
        <f t="shared" si="0"/>
        <v>0</v>
      </c>
    </row>
    <row r="50" spans="1:14" ht="15.75" thickBot="1" x14ac:dyDescent="0.3">
      <c r="A50" s="9" t="s">
        <v>930</v>
      </c>
      <c r="B50" s="252">
        <f t="shared" si="1"/>
        <v>0</v>
      </c>
      <c r="C50" s="1533"/>
      <c r="H50" s="79" t="s">
        <v>930</v>
      </c>
      <c r="I50" s="258">
        <f t="shared" si="2"/>
        <v>0</v>
      </c>
      <c r="J50" s="260">
        <f>VLOOKUP(H50,$A$29:$B$36,2,FALSE)</f>
        <v>0</v>
      </c>
      <c r="K50" s="260">
        <f>VLOOKUP(H50,$A$39:$B$45,2,FALSE)</f>
        <v>0</v>
      </c>
      <c r="L50" s="260">
        <f t="shared" si="3"/>
        <v>0</v>
      </c>
      <c r="M50" s="260">
        <f>30/10000</f>
        <v>3.0000000000000001E-3</v>
      </c>
      <c r="N50" s="260">
        <f t="shared" si="0"/>
        <v>0</v>
      </c>
    </row>
    <row r="51" spans="1:14" ht="15.75" thickBot="1" x14ac:dyDescent="0.3">
      <c r="A51" s="9" t="s">
        <v>356</v>
      </c>
      <c r="B51" s="252">
        <f>VLOOKUP(A51,$H$48:$N$58,7,FALSE)</f>
        <v>0</v>
      </c>
      <c r="C51" s="1533"/>
      <c r="H51" s="79" t="s">
        <v>356</v>
      </c>
      <c r="I51" s="258">
        <f>VLOOKUP(H51,$A$17:$B$26,2,FALSE)</f>
        <v>0</v>
      </c>
      <c r="J51" s="260">
        <f>VLOOKUP(H51,$A$29:$B$36,2,FALSE)</f>
        <v>0</v>
      </c>
      <c r="K51" s="260">
        <f>VLOOKUP(H51,$A$39:$B$45,2,FALSE)</f>
        <v>0</v>
      </c>
      <c r="L51" s="260">
        <f>+SUM(I51:K51)</f>
        <v>0</v>
      </c>
      <c r="M51" s="260">
        <v>1E-3</v>
      </c>
      <c r="N51" s="260">
        <f t="shared" si="0"/>
        <v>0</v>
      </c>
    </row>
    <row r="52" spans="1:14" ht="15.6" customHeight="1" thickBot="1" x14ac:dyDescent="0.3">
      <c r="A52" s="9" t="s">
        <v>918</v>
      </c>
      <c r="B52" s="252">
        <f t="shared" si="1"/>
        <v>0</v>
      </c>
      <c r="C52" s="1533"/>
      <c r="H52" s="79" t="s">
        <v>918</v>
      </c>
      <c r="I52" s="258">
        <f>VLOOKUP(H52,$A$17:$B$26,2,FALSE)</f>
        <v>0</v>
      </c>
      <c r="J52" s="259"/>
      <c r="K52" s="259"/>
      <c r="L52" s="260">
        <f t="shared" si="3"/>
        <v>0</v>
      </c>
      <c r="M52" s="260">
        <v>1.5</v>
      </c>
      <c r="N52" s="260">
        <f t="shared" si="0"/>
        <v>0</v>
      </c>
    </row>
    <row r="53" spans="1:14" ht="15.75" thickBot="1" x14ac:dyDescent="0.3">
      <c r="A53" s="9" t="s">
        <v>344</v>
      </c>
      <c r="B53" s="252">
        <f t="shared" si="1"/>
        <v>0</v>
      </c>
      <c r="C53" s="1533"/>
      <c r="H53" s="79" t="s">
        <v>344</v>
      </c>
      <c r="I53" s="258">
        <f t="shared" si="2"/>
        <v>0</v>
      </c>
      <c r="J53" s="260">
        <f>VLOOKUP(H53,$A$29:$B$36,2,FALSE)</f>
        <v>0</v>
      </c>
      <c r="K53" s="260">
        <f>VLOOKUP(H53,$A$39:$B$45,2,FALSE)</f>
        <v>0</v>
      </c>
      <c r="L53" s="260">
        <f t="shared" si="3"/>
        <v>0</v>
      </c>
      <c r="M53" s="260">
        <v>1.5</v>
      </c>
      <c r="N53" s="260">
        <f t="shared" si="0"/>
        <v>0</v>
      </c>
    </row>
    <row r="54" spans="1:14" ht="15.75" thickBot="1" x14ac:dyDescent="0.3">
      <c r="A54" s="9" t="s">
        <v>357</v>
      </c>
      <c r="B54" s="252">
        <f>VLOOKUP(A54,$H$48:$N$58,7,FALSE)</f>
        <v>0</v>
      </c>
      <c r="C54" s="1533"/>
      <c r="H54" s="79" t="s">
        <v>357</v>
      </c>
      <c r="I54" s="258">
        <f t="shared" si="2"/>
        <v>0</v>
      </c>
      <c r="J54" s="260">
        <f>VLOOKUP(H54,$A$29:$B$36,2,FALSE)</f>
        <v>0</v>
      </c>
      <c r="K54" s="260">
        <f>VLOOKUP(H54,$A$39:$B$45,2,FALSE)</f>
        <v>0</v>
      </c>
      <c r="L54" s="260">
        <f t="shared" si="3"/>
        <v>0</v>
      </c>
      <c r="M54" s="260">
        <v>1E-3</v>
      </c>
      <c r="N54" s="260">
        <f t="shared" si="0"/>
        <v>0</v>
      </c>
    </row>
    <row r="55" spans="1:14" ht="15.75" thickBot="1" x14ac:dyDescent="0.3">
      <c r="A55" s="9" t="s">
        <v>358</v>
      </c>
      <c r="B55" s="252">
        <f t="shared" si="1"/>
        <v>0</v>
      </c>
      <c r="C55" s="1533"/>
      <c r="H55" s="79" t="s">
        <v>358</v>
      </c>
      <c r="I55" s="258">
        <f t="shared" si="2"/>
        <v>0</v>
      </c>
      <c r="J55" s="260">
        <f>VLOOKUP(H55,$A$29:$B$36,2,FALSE)</f>
        <v>0</v>
      </c>
      <c r="K55" s="260">
        <f>VLOOKUP(H55,$A$39:$B$45,2,FALSE)</f>
        <v>0</v>
      </c>
      <c r="L55" s="260">
        <f t="shared" si="3"/>
        <v>0</v>
      </c>
      <c r="M55" s="260">
        <v>0.6</v>
      </c>
      <c r="N55" s="260">
        <f t="shared" si="0"/>
        <v>0</v>
      </c>
    </row>
    <row r="56" spans="1:14" ht="30.75" thickBot="1" x14ac:dyDescent="0.3">
      <c r="A56" s="9" t="s">
        <v>937</v>
      </c>
      <c r="B56" s="252">
        <f t="shared" si="1"/>
        <v>0</v>
      </c>
      <c r="C56" s="1533"/>
      <c r="H56" s="79" t="s">
        <v>937</v>
      </c>
      <c r="I56" s="259"/>
      <c r="J56" s="260">
        <f>VLOOKUP(H56,$A$29:$B$36,2,FALSE)</f>
        <v>0</v>
      </c>
      <c r="K56" s="259"/>
      <c r="L56" s="260">
        <f t="shared" si="3"/>
        <v>0</v>
      </c>
      <c r="M56" s="260">
        <v>0.4</v>
      </c>
      <c r="N56" s="260">
        <f t="shared" si="0"/>
        <v>0</v>
      </c>
    </row>
    <row r="57" spans="1:14" ht="30.75" thickBot="1" x14ac:dyDescent="0.3">
      <c r="A57" s="9" t="s">
        <v>924</v>
      </c>
      <c r="B57" s="252">
        <f t="shared" si="1"/>
        <v>0</v>
      </c>
      <c r="C57" s="1533"/>
      <c r="H57" s="79" t="s">
        <v>924</v>
      </c>
      <c r="I57" s="258">
        <f>VLOOKUP(H57,$A$17:$B$26,2,FALSE)</f>
        <v>0</v>
      </c>
      <c r="J57" s="259"/>
      <c r="K57" s="259"/>
      <c r="L57" s="260">
        <f t="shared" si="3"/>
        <v>0</v>
      </c>
      <c r="M57" s="260">
        <v>1.5</v>
      </c>
      <c r="N57" s="260">
        <f t="shared" si="0"/>
        <v>0</v>
      </c>
    </row>
    <row r="58" spans="1:14" ht="15.6" customHeight="1" thickBot="1" x14ac:dyDescent="0.3">
      <c r="A58" s="9" t="s">
        <v>921</v>
      </c>
      <c r="B58" s="252">
        <f>VLOOKUP(A58,$H$48:$N$58,7,FALSE)</f>
        <v>0</v>
      </c>
      <c r="C58" s="1534"/>
      <c r="H58" s="79" t="s">
        <v>921</v>
      </c>
      <c r="I58" s="258">
        <f>VLOOKUP(H58,$A$17:$C$26,2,FALSE)</f>
        <v>0</v>
      </c>
      <c r="J58" s="259"/>
      <c r="K58" s="259"/>
      <c r="L58" s="260">
        <f>+SUM(I58:K58)</f>
        <v>0</v>
      </c>
      <c r="M58" s="260">
        <v>1</v>
      </c>
      <c r="N58" s="260">
        <f t="shared" si="0"/>
        <v>0</v>
      </c>
    </row>
    <row r="59" spans="1:14" ht="15.75" thickBot="1" x14ac:dyDescent="0.3"/>
    <row r="60" spans="1:14" ht="15.75" thickBot="1" x14ac:dyDescent="0.3">
      <c r="A60" s="14" t="s">
        <v>659</v>
      </c>
    </row>
    <row r="61" spans="1:14" ht="15.75" thickBot="1" x14ac:dyDescent="0.3">
      <c r="A61" s="16" t="s">
        <v>1240</v>
      </c>
      <c r="B61" s="253">
        <f>SUM(B48:B58)</f>
        <v>0</v>
      </c>
      <c r="C61" s="8" t="s">
        <v>1033</v>
      </c>
      <c r="H61" s="142"/>
    </row>
    <row r="62" spans="1:14" ht="15.75" thickBot="1" x14ac:dyDescent="0.3">
      <c r="H62" s="142"/>
    </row>
    <row r="63" spans="1:14" ht="15.75" thickBot="1" x14ac:dyDescent="0.3">
      <c r="A63" s="158" t="s">
        <v>1241</v>
      </c>
    </row>
    <row r="64" spans="1:14" ht="15.75" thickBot="1" x14ac:dyDescent="0.3">
      <c r="A64" s="8" t="s">
        <v>567</v>
      </c>
      <c r="B64" s="252">
        <f>B9</f>
        <v>0</v>
      </c>
      <c r="C64" s="8" t="s">
        <v>1033</v>
      </c>
    </row>
    <row r="65" spans="1:3" ht="15.75" thickBot="1" x14ac:dyDescent="0.3">
      <c r="A65" s="8" t="s">
        <v>1240</v>
      </c>
      <c r="B65" s="254">
        <f>B61</f>
        <v>0</v>
      </c>
      <c r="C65" s="8" t="s">
        <v>1239</v>
      </c>
    </row>
    <row r="66" spans="1:3" ht="15.75" thickBot="1" x14ac:dyDescent="0.3"/>
    <row r="67" spans="1:3" ht="15.75" thickBot="1" x14ac:dyDescent="0.3">
      <c r="A67" s="8" t="s">
        <v>1242</v>
      </c>
      <c r="B67" s="509" t="e">
        <f>B65/B64</f>
        <v>#DIV/0!</v>
      </c>
      <c r="C67" s="8" t="s">
        <v>1156</v>
      </c>
    </row>
    <row r="68" spans="1:3" ht="15.75" thickBot="1" x14ac:dyDescent="0.3"/>
    <row r="69" spans="1:3" ht="28.5" customHeight="1" thickBot="1" x14ac:dyDescent="0.3">
      <c r="A69" s="25" t="s">
        <v>1243</v>
      </c>
      <c r="B69" s="255" t="e">
        <f>IF(B67&gt;0.4,"Plafond à 40%","Pas de plafond applicable")</f>
        <v>#DIV/0!</v>
      </c>
      <c r="C69" s="24" t="s">
        <v>1244</v>
      </c>
    </row>
    <row r="70" spans="1:3" ht="15.75" thickBot="1" x14ac:dyDescent="0.3"/>
    <row r="71" spans="1:3" ht="15.75" thickBot="1" x14ac:dyDescent="0.3">
      <c r="A71" s="8" t="s">
        <v>1245</v>
      </c>
      <c r="B71" s="256">
        <f>IFERROR(IF(B69="pas de plafond applicable",B65,B64*0.4),0)</f>
        <v>0</v>
      </c>
      <c r="C71" s="9" t="s">
        <v>1033</v>
      </c>
    </row>
    <row r="72" spans="1:3" ht="15.75" thickBot="1" x14ac:dyDescent="0.3">
      <c r="A72" s="8" t="s">
        <v>1246</v>
      </c>
      <c r="B72" s="8">
        <v>450</v>
      </c>
      <c r="C72" s="9" t="s">
        <v>1115</v>
      </c>
    </row>
    <row r="73" spans="1:3" ht="15.75" thickBot="1" x14ac:dyDescent="0.3"/>
    <row r="74" spans="1:3" ht="15.75" thickBot="1" x14ac:dyDescent="0.3">
      <c r="A74" s="157" t="s">
        <v>659</v>
      </c>
    </row>
    <row r="75" spans="1:3" ht="15.75" thickBot="1" x14ac:dyDescent="0.3">
      <c r="A75" t="s">
        <v>1439</v>
      </c>
      <c r="B75">
        <f>IF(SUM('2. VOS DONNEES'!F34:G39)&gt;0,1,0)</f>
        <v>0</v>
      </c>
    </row>
    <row r="76" spans="1:3" ht="15.75" thickBot="1" x14ac:dyDescent="0.3">
      <c r="A76" s="14" t="s">
        <v>1116</v>
      </c>
      <c r="B76" s="14">
        <f>IF(B5="Oui",B72*B71*B75,0)</f>
        <v>0</v>
      </c>
      <c r="C76" s="8" t="s">
        <v>1115</v>
      </c>
    </row>
  </sheetData>
  <sheetProtection sheet="1" objects="1" scenarios="1"/>
  <sortState xmlns:xlrd2="http://schemas.microsoft.com/office/spreadsheetml/2017/richdata2" ref="A48:A58">
    <sortCondition ref="A48:A58"/>
  </sortState>
  <mergeCells count="1">
    <mergeCell ref="C48:C58"/>
  </mergeCells>
  <phoneticPr fontId="7" type="noConversion"/>
  <printOptions headings="1"/>
  <pageMargins left="0.70866141732283472" right="0.70866141732283472" top="0.74803149606299213" bottom="0.74803149606299213" header="0.31496062992125984" footer="0.31496062992125984"/>
  <pageSetup paperSize="8" scale="60" orientation="landscape" r:id="rId1"/>
  <legacyDrawing r:id="rId2"/>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0650064-3BAE-474C-8683-5E0B1B042743}">
  <sheetPr codeName="Feuil12"/>
  <dimension ref="A1:S24"/>
  <sheetViews>
    <sheetView zoomScale="96" zoomScaleNormal="96" workbookViewId="0">
      <selection activeCell="E26" sqref="E26"/>
    </sheetView>
  </sheetViews>
  <sheetFormatPr baseColWidth="10" defaultColWidth="11.42578125" defaultRowHeight="15" x14ac:dyDescent="0.25"/>
  <cols>
    <col min="1" max="1" width="70.7109375" bestFit="1" customWidth="1"/>
    <col min="2" max="2" width="18.85546875" customWidth="1"/>
    <col min="3" max="3" width="4.7109375" customWidth="1"/>
    <col min="4" max="4" width="12.28515625" style="2" customWidth="1"/>
    <col min="5" max="5" width="20.7109375" bestFit="1" customWidth="1"/>
    <col min="15" max="15" width="44.42578125" bestFit="1" customWidth="1"/>
    <col min="18" max="18" width="69.85546875" customWidth="1"/>
  </cols>
  <sheetData>
    <row r="1" spans="1:19" ht="15.75" thickBot="1" x14ac:dyDescent="0.3"/>
    <row r="2" spans="1:19" ht="15.75" thickBot="1" x14ac:dyDescent="0.3">
      <c r="A2" s="152" t="s">
        <v>1227</v>
      </c>
    </row>
    <row r="3" spans="1:19" ht="15.75" thickBot="1" x14ac:dyDescent="0.3">
      <c r="A3" s="176" t="s">
        <v>1225</v>
      </c>
      <c r="B3" s="176">
        <f>IF('2. VOS DONNEES'!E245="non",0,1)</f>
        <v>0</v>
      </c>
      <c r="D3"/>
    </row>
    <row r="4" spans="1:19" ht="15.75" thickBot="1" x14ac:dyDescent="0.3">
      <c r="A4" s="176" t="s">
        <v>1444</v>
      </c>
      <c r="B4" s="176">
        <f>'2. VOS DONNEES'!E248</f>
        <v>0</v>
      </c>
      <c r="D4"/>
    </row>
    <row r="5" spans="1:19" ht="15.75" thickBot="1" x14ac:dyDescent="0.3">
      <c r="A5" s="62" t="s">
        <v>1029</v>
      </c>
      <c r="B5" s="263" t="s">
        <v>62</v>
      </c>
      <c r="C5" s="63"/>
    </row>
    <row r="6" spans="1:19" x14ac:dyDescent="0.25">
      <c r="A6" s="5" t="s">
        <v>1247</v>
      </c>
      <c r="B6" s="264">
        <f>'2. VOS DONNEES'!E6</f>
        <v>0</v>
      </c>
      <c r="C6" s="64" t="s">
        <v>643</v>
      </c>
      <c r="N6" s="261">
        <v>62</v>
      </c>
      <c r="O6" s="261" t="s">
        <v>106</v>
      </c>
      <c r="P6" s="261">
        <f>IF($B$3="Oui",IFERROR(VLOOKUP(O6,'2. VOS DONNEES'!$D$6:$E$283,2,FALSE),0),0)</f>
        <v>0</v>
      </c>
    </row>
    <row r="7" spans="1:19" ht="15.75" thickBot="1" x14ac:dyDescent="0.3">
      <c r="A7" s="65"/>
      <c r="B7" s="265"/>
      <c r="C7" s="33"/>
      <c r="N7" s="261">
        <v>58</v>
      </c>
      <c r="O7" s="261" t="s">
        <v>647</v>
      </c>
      <c r="P7" s="261">
        <f>IF($B$3="Oui",IFERROR(VLOOKUP(O7,'2. VOS DONNEES'!$D$6:$E$283,2,FALSE),0),0)</f>
        <v>0</v>
      </c>
      <c r="R7" t="s">
        <v>27</v>
      </c>
      <c r="S7">
        <f>IF($B$3="Oui",IFERROR(VLOOKUP(R7,'2. VOS DONNEES'!$D$6:$E$283,2,FALSE),0),0)</f>
        <v>0</v>
      </c>
    </row>
    <row r="8" spans="1:19" ht="15.75" thickBot="1" x14ac:dyDescent="0.3">
      <c r="A8" s="66" t="s">
        <v>1248</v>
      </c>
      <c r="B8" s="264">
        <f>SUM(S6:S10)</f>
        <v>0</v>
      </c>
      <c r="C8" s="67" t="s">
        <v>643</v>
      </c>
      <c r="N8" s="261">
        <v>72</v>
      </c>
      <c r="O8" s="261" t="s">
        <v>109</v>
      </c>
      <c r="P8" s="261">
        <f>IF($B$3="Oui",IFERROR(VLOOKUP(O8,'2. VOS DONNEES'!$D$6:$E$283,2,FALSE),0),0)</f>
        <v>0</v>
      </c>
      <c r="R8" t="s">
        <v>107</v>
      </c>
      <c r="S8">
        <f>IF($B$3="Oui",IFERROR(VLOOKUP(R8,'2. VOS DONNEES'!$D$6:$E$283,2,FALSE),0),0)</f>
        <v>0</v>
      </c>
    </row>
    <row r="9" spans="1:19" ht="30.75" thickBot="1" x14ac:dyDescent="0.3">
      <c r="A9" s="66" t="s">
        <v>1249</v>
      </c>
      <c r="B9" s="264">
        <f>SUM(P6:P11)</f>
        <v>0</v>
      </c>
      <c r="C9" s="67" t="s">
        <v>643</v>
      </c>
      <c r="N9" s="261">
        <v>73</v>
      </c>
      <c r="O9" s="261" t="s">
        <v>79</v>
      </c>
      <c r="P9" s="261">
        <f>IF($B$3="Oui",IFERROR(VLOOKUP(O9,'2. VOS DONNEES'!$D$6:$E$283,2,FALSE),0),0)</f>
        <v>0</v>
      </c>
      <c r="R9" s="262" t="s">
        <v>113</v>
      </c>
      <c r="S9">
        <f>IF($B$3="Oui",IFERROR(VLOOKUP(R9,'2. VOS DONNEES'!$D$6:$E$283,2,FALSE),0),0)</f>
        <v>0</v>
      </c>
    </row>
    <row r="10" spans="1:19" ht="15.75" thickBot="1" x14ac:dyDescent="0.3">
      <c r="A10" s="66" t="s">
        <v>1250</v>
      </c>
      <c r="B10" s="264">
        <f>SUM(B8:B9)</f>
        <v>0</v>
      </c>
      <c r="C10" s="67" t="s">
        <v>643</v>
      </c>
      <c r="N10" s="261">
        <v>57</v>
      </c>
      <c r="O10" s="261" t="s">
        <v>1251</v>
      </c>
      <c r="P10" s="261">
        <f>IF($B$3="Oui",IFERROR(VLOOKUP(O10,'2. VOS DONNEES'!$D$6:$E$283,2,FALSE),0),0)</f>
        <v>0</v>
      </c>
      <c r="R10" s="262" t="s">
        <v>649</v>
      </c>
      <c r="S10">
        <f>IF($B$3="Oui",IFERROR(VLOOKUP(R10,'2. VOS DONNEES'!$D$6:$E$283,2,FALSE),0),0)</f>
        <v>0</v>
      </c>
    </row>
    <row r="11" spans="1:19" ht="15.75" thickBot="1" x14ac:dyDescent="0.3">
      <c r="A11" s="65"/>
      <c r="B11" s="265"/>
      <c r="C11" s="33"/>
      <c r="N11" s="261">
        <v>56</v>
      </c>
      <c r="O11" s="261" t="s">
        <v>647</v>
      </c>
      <c r="P11" s="261">
        <f>IF($B$3="Oui",IFERROR(VLOOKUP(O11,'2. VOS DONNEES'!$D$6:$E$283,2,FALSE),0),0)</f>
        <v>0</v>
      </c>
    </row>
    <row r="12" spans="1:19" ht="15.75" thickBot="1" x14ac:dyDescent="0.3">
      <c r="A12" s="66" t="s">
        <v>1252</v>
      </c>
      <c r="B12" s="174">
        <f>'2. VOS DONNEES'!E246</f>
        <v>0</v>
      </c>
      <c r="C12" s="67" t="s">
        <v>643</v>
      </c>
    </row>
    <row r="13" spans="1:19" ht="15.75" thickBot="1" x14ac:dyDescent="0.3">
      <c r="A13" s="66" t="s">
        <v>1253</v>
      </c>
      <c r="B13" s="174">
        <f>B6-B12</f>
        <v>0</v>
      </c>
      <c r="C13" s="67" t="s">
        <v>643</v>
      </c>
      <c r="D13" s="68"/>
    </row>
    <row r="14" spans="1:19" ht="15.75" thickBot="1" x14ac:dyDescent="0.3">
      <c r="A14" s="65"/>
      <c r="B14" s="265"/>
      <c r="C14" s="33"/>
    </row>
    <row r="15" spans="1:19" ht="15.75" thickBot="1" x14ac:dyDescent="0.3">
      <c r="A15" s="66" t="s">
        <v>1254</v>
      </c>
      <c r="B15" s="175">
        <f>IFERROR(B13/B6,0)</f>
        <v>0</v>
      </c>
      <c r="C15" s="69"/>
      <c r="D15" s="70"/>
    </row>
    <row r="16" spans="1:19" x14ac:dyDescent="0.25">
      <c r="A16" s="65"/>
      <c r="B16" s="266"/>
      <c r="C16" s="33"/>
    </row>
    <row r="17" spans="1:6" ht="15.75" thickBot="1" x14ac:dyDescent="0.3">
      <c r="A17" s="71" t="s">
        <v>1255</v>
      </c>
      <c r="B17" s="267"/>
      <c r="C17" s="33"/>
    </row>
    <row r="18" spans="1:6" ht="15.75" thickBot="1" x14ac:dyDescent="0.3">
      <c r="A18" s="66" t="s">
        <v>1256</v>
      </c>
      <c r="B18" s="175">
        <f>IFERROR((0.7+(0.1*($B$10/$B$6))),0)</f>
        <v>0</v>
      </c>
      <c r="C18" s="69"/>
      <c r="D18" s="70"/>
    </row>
    <row r="19" spans="1:6" ht="15.75" thickBot="1" x14ac:dyDescent="0.3">
      <c r="A19" s="66" t="s">
        <v>1257</v>
      </c>
      <c r="B19" s="175">
        <f>IFERROR((0.8+(0.1*($B$10/$B$6))),0)</f>
        <v>0</v>
      </c>
      <c r="C19" s="69"/>
      <c r="D19" s="70"/>
    </row>
    <row r="20" spans="1:6" ht="15.75" thickBot="1" x14ac:dyDescent="0.3">
      <c r="A20" s="66" t="s">
        <v>1258</v>
      </c>
      <c r="B20" s="175">
        <f>IFERROR((0.9+(0.05*($B$10/$B$6))),0)</f>
        <v>0</v>
      </c>
      <c r="C20" s="72"/>
      <c r="D20" s="70"/>
      <c r="E20" s="8" t="s">
        <v>1259</v>
      </c>
      <c r="F20" s="8">
        <v>45</v>
      </c>
    </row>
    <row r="21" spans="1:6" ht="15.75" thickBot="1" x14ac:dyDescent="0.3">
      <c r="A21" s="158" t="s">
        <v>1260</v>
      </c>
      <c r="B21" s="73"/>
      <c r="C21" s="74"/>
      <c r="D21" s="70"/>
      <c r="E21" s="8" t="s">
        <v>1261</v>
      </c>
      <c r="F21" s="8">
        <v>30</v>
      </c>
    </row>
    <row r="22" spans="1:6" ht="15.75" thickBot="1" x14ac:dyDescent="0.3">
      <c r="A22" s="75" t="s">
        <v>1262</v>
      </c>
      <c r="B22" s="172" t="str">
        <f>IF(B15&gt;=B20,"supérieur",IF(AND(B15&gt;=B19,B15&lt;B20),"intermédiaire",IF(AND(B15&gt;=B18,B15&lt;B19),"entrée","non éligible à l'aide")))</f>
        <v>supérieur</v>
      </c>
      <c r="C22" s="76"/>
      <c r="D22" s="70"/>
      <c r="E22" s="8" t="s">
        <v>1263</v>
      </c>
      <c r="F22" s="8">
        <v>15</v>
      </c>
    </row>
    <row r="23" spans="1:6" ht="15.75" thickBot="1" x14ac:dyDescent="0.3">
      <c r="A23" s="75" t="s">
        <v>1264</v>
      </c>
      <c r="B23" s="173">
        <f>IFERROR(VLOOKUP(B22,$E$20:$F$22,2,FALSE),0)</f>
        <v>45</v>
      </c>
      <c r="C23" s="76" t="s">
        <v>1265</v>
      </c>
    </row>
    <row r="24" spans="1:6" ht="15.75" thickBot="1" x14ac:dyDescent="0.3">
      <c r="A24" s="77" t="s">
        <v>1266</v>
      </c>
      <c r="B24" s="174">
        <f>IF(B3*B4&gt;0,B6*B23,0)</f>
        <v>0</v>
      </c>
      <c r="C24" s="78" t="s">
        <v>1115</v>
      </c>
    </row>
  </sheetData>
  <sheetProtection sheet="1" objects="1" scenarios="1"/>
  <dataValidations count="1">
    <dataValidation type="list" allowBlank="1" showInputMessage="1" showErrorMessage="1" sqref="B3:B4" xr:uid="{81094F13-556B-40B4-8048-16E0B4222E24}"/>
  </dataValidations>
  <pageMargins left="0.7" right="0.7" top="0.75" bottom="0.75" header="0.3" footer="0.3"/>
  <pageSetup paperSize="9" orientation="portrait" r:id="rId1"/>
  <drawing r:id="rId2"/>
  <legacyDrawing r:id="rId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5194E15-EFA0-46FC-AD62-084F1361C6F9}">
  <sheetPr codeName="Feuil9"/>
  <dimension ref="A1:C42"/>
  <sheetViews>
    <sheetView topLeftCell="A13" workbookViewId="0">
      <selection activeCell="B13" sqref="B13"/>
    </sheetView>
  </sheetViews>
  <sheetFormatPr baseColWidth="10" defaultColWidth="11.42578125" defaultRowHeight="15" x14ac:dyDescent="0.25"/>
  <cols>
    <col min="1" max="1" width="105" customWidth="1"/>
    <col min="2" max="2" width="12" customWidth="1"/>
    <col min="3" max="3" width="12.140625" customWidth="1"/>
  </cols>
  <sheetData>
    <row r="1" spans="1:3" ht="15.75" thickBot="1" x14ac:dyDescent="0.3">
      <c r="A1" s="152" t="s">
        <v>1227</v>
      </c>
    </row>
    <row r="2" spans="1:3" ht="15.75" thickBot="1" x14ac:dyDescent="0.3"/>
    <row r="3" spans="1:3" ht="15.75" thickBot="1" x14ac:dyDescent="0.3">
      <c r="A3" s="183" t="s">
        <v>1225</v>
      </c>
      <c r="B3" s="184" t="str">
        <f>'2. VOS DONNEES'!E238</f>
        <v>NON</v>
      </c>
      <c r="C3" t="s">
        <v>1226</v>
      </c>
    </row>
    <row r="4" spans="1:3" ht="15.75" thickBot="1" x14ac:dyDescent="0.3"/>
    <row r="5" spans="1:3" ht="15.75" thickBot="1" x14ac:dyDescent="0.3">
      <c r="A5" s="56" t="s">
        <v>1029</v>
      </c>
      <c r="B5" s="114" t="s">
        <v>62</v>
      </c>
      <c r="C5" s="243" t="s">
        <v>642</v>
      </c>
    </row>
    <row r="6" spans="1:3" ht="15.75" thickBot="1" x14ac:dyDescent="0.3">
      <c r="A6" s="116" t="s">
        <v>110</v>
      </c>
      <c r="B6" s="106">
        <f>IF($B$3="Oui",IFERROR(VLOOKUP(A6,'2. VOS DONNEES'!$D$6:$E$283,2,FALSE),0),0)</f>
        <v>0</v>
      </c>
      <c r="C6" s="1097"/>
    </row>
    <row r="7" spans="1:3" ht="15.75" thickBot="1" x14ac:dyDescent="0.3">
      <c r="A7" s="116" t="s">
        <v>646</v>
      </c>
      <c r="B7" s="106">
        <f>IF($B$3="Oui",IFERROR(VLOOKUP(A7,'2. VOS DONNEES'!$D$6:$E$283,2,FALSE),0),0)</f>
        <v>0</v>
      </c>
      <c r="C7" s="1532" t="s">
        <v>1033</v>
      </c>
    </row>
    <row r="8" spans="1:3" ht="15.75" thickBot="1" x14ac:dyDescent="0.3">
      <c r="A8" s="116" t="s">
        <v>79</v>
      </c>
      <c r="B8" s="106">
        <f>IF($B$3="Oui",IFERROR(VLOOKUP(A8,'2. VOS DONNEES'!$D$6:$E$283,2,FALSE),0),0)</f>
        <v>0</v>
      </c>
      <c r="C8" s="1533"/>
    </row>
    <row r="9" spans="1:3" ht="15.75" thickBot="1" x14ac:dyDescent="0.3">
      <c r="A9" s="116" t="s">
        <v>647</v>
      </c>
      <c r="B9" s="106">
        <f>IF($B$3="Oui",IFERROR(VLOOKUP(A9,'2. VOS DONNEES'!$D$6:$E$283,2,FALSE),0),0)</f>
        <v>0</v>
      </c>
      <c r="C9" s="1533"/>
    </row>
    <row r="10" spans="1:3" ht="15.75" thickBot="1" x14ac:dyDescent="0.3">
      <c r="A10" s="116" t="s">
        <v>648</v>
      </c>
      <c r="B10" s="106">
        <f>IF($B$3="Oui",IFERROR(VLOOKUP(A10,'2. VOS DONNEES'!$D$6:$E$283,2,FALSE),0),0)</f>
        <v>0</v>
      </c>
      <c r="C10" s="1533"/>
    </row>
    <row r="11" spans="1:3" ht="15.75" thickBot="1" x14ac:dyDescent="0.3">
      <c r="A11" s="116" t="s">
        <v>81</v>
      </c>
      <c r="B11" s="106">
        <f>IF($B$3="Oui",IFERROR(VLOOKUP(A11,'2. VOS DONNEES'!$D$6:$E$283,2,FALSE),0),0)</f>
        <v>0</v>
      </c>
      <c r="C11" s="1533"/>
    </row>
    <row r="12" spans="1:3" ht="15.75" thickBot="1" x14ac:dyDescent="0.3">
      <c r="A12" s="117" t="s">
        <v>686</v>
      </c>
      <c r="B12" s="106">
        <f>IF($B$3="Oui",IFERROR(VLOOKUP(A12,'2. VOS DONNEES'!$D$6:$E$283,2,FALSE),0),0)</f>
        <v>0</v>
      </c>
      <c r="C12" s="1533"/>
    </row>
    <row r="13" spans="1:3" ht="15.75" thickBot="1" x14ac:dyDescent="0.3">
      <c r="A13" s="117" t="s">
        <v>687</v>
      </c>
      <c r="B13" s="106">
        <f>IF($B$3="Oui",IFERROR(VLOOKUP(A13,'2. VOS DONNEES'!$D$6:$E$283,2,FALSE),0),0)</f>
        <v>0</v>
      </c>
      <c r="C13" s="1533"/>
    </row>
    <row r="14" spans="1:3" ht="15.75" thickBot="1" x14ac:dyDescent="0.3">
      <c r="A14" s="117" t="s">
        <v>91</v>
      </c>
      <c r="B14" s="106">
        <f>IF($B$3="Oui",IFERROR(VLOOKUP(A14,'2. VOS DONNEES'!$D$6:$E$283,2,FALSE),0),0)</f>
        <v>0</v>
      </c>
      <c r="C14" s="1533"/>
    </row>
    <row r="15" spans="1:3" ht="15.75" thickBot="1" x14ac:dyDescent="0.3">
      <c r="A15" s="117" t="s">
        <v>690</v>
      </c>
      <c r="B15" s="106">
        <f>IF($B$3="Oui",IFERROR(VLOOKUP(A15,'2. VOS DONNEES'!$D$6:$E$283,2,FALSE),0),0)</f>
        <v>0</v>
      </c>
      <c r="C15" s="1533"/>
    </row>
    <row r="16" spans="1:3" ht="15.75" thickBot="1" x14ac:dyDescent="0.3">
      <c r="A16" s="117" t="s">
        <v>684</v>
      </c>
      <c r="B16" s="106">
        <f>IF($B$3="Oui",IFERROR(VLOOKUP(A16,'2. VOS DONNEES'!$D$6:$E$283,2,FALSE),0),0)</f>
        <v>0</v>
      </c>
      <c r="C16" s="1533"/>
    </row>
    <row r="17" spans="1:3" ht="15.75" thickBot="1" x14ac:dyDescent="0.3">
      <c r="A17" s="117" t="s">
        <v>689</v>
      </c>
      <c r="B17" s="106">
        <f>IF($B$3="Oui",IFERROR(VLOOKUP(A17,'2. VOS DONNEES'!$D$6:$E$283,2,FALSE),0),0)</f>
        <v>0</v>
      </c>
      <c r="C17" s="1533"/>
    </row>
    <row r="18" spans="1:3" ht="15.75" thickBot="1" x14ac:dyDescent="0.3">
      <c r="A18" s="117" t="s">
        <v>93</v>
      </c>
      <c r="B18" s="106">
        <f>IF($B$3="Oui",IFERROR(VLOOKUP(A18,'2. VOS DONNEES'!$D$6:$E$283,2,FALSE),0),0)</f>
        <v>0</v>
      </c>
      <c r="C18" s="1533"/>
    </row>
    <row r="19" spans="1:3" ht="15.75" thickBot="1" x14ac:dyDescent="0.3">
      <c r="A19" s="117" t="s">
        <v>693</v>
      </c>
      <c r="B19" s="106">
        <f>IF($B$3="Oui",IFERROR(VLOOKUP(A19,'2. VOS DONNEES'!$D$6:$E$283,2,FALSE),0),0)</f>
        <v>0</v>
      </c>
      <c r="C19" s="1533"/>
    </row>
    <row r="20" spans="1:3" ht="15.75" thickBot="1" x14ac:dyDescent="0.3">
      <c r="A20" s="117" t="s">
        <v>685</v>
      </c>
      <c r="B20" s="106">
        <f>IF($B$3="Oui",IFERROR(VLOOKUP(A20,'2. VOS DONNEES'!$D$6:$E$283,2,FALSE),0),0)</f>
        <v>0</v>
      </c>
      <c r="C20" s="1533"/>
    </row>
    <row r="21" spans="1:3" ht="15.75" thickBot="1" x14ac:dyDescent="0.3">
      <c r="A21" s="117" t="s">
        <v>691</v>
      </c>
      <c r="B21" s="106">
        <f>IF($B$3="Oui",IFERROR(VLOOKUP(A21,'2. VOS DONNEES'!$D$6:$E$283,2,FALSE),0),0)</f>
        <v>0</v>
      </c>
      <c r="C21" s="1533"/>
    </row>
    <row r="22" spans="1:3" ht="15.75" thickBot="1" x14ac:dyDescent="0.3">
      <c r="A22" s="141" t="s">
        <v>90</v>
      </c>
      <c r="B22" s="106">
        <f>IF($B$3="Oui",IFERROR(VLOOKUP(A22,'2. VOS DONNEES'!$D$6:$E$283,2,FALSE),0),0)</f>
        <v>0</v>
      </c>
      <c r="C22" s="1533"/>
    </row>
    <row r="23" spans="1:3" ht="15.75" thickBot="1" x14ac:dyDescent="0.3">
      <c r="A23" s="118" t="s">
        <v>773</v>
      </c>
      <c r="B23" s="106">
        <f>IF($B$3="Oui",IFERROR(VLOOKUP(A23,'2. VOS DONNEES'!$D$6:$E$283,2,FALSE),0),0)</f>
        <v>0</v>
      </c>
      <c r="C23" s="1533"/>
    </row>
    <row r="24" spans="1:3" ht="15.75" thickBot="1" x14ac:dyDescent="0.3">
      <c r="A24" s="118" t="s">
        <v>774</v>
      </c>
      <c r="B24" s="106">
        <f>IF($B$3="Oui",IFERROR(VLOOKUP(A24,'2. VOS DONNEES'!$D$6:$E$283,2,FALSE),0),0)</f>
        <v>0</v>
      </c>
      <c r="C24" s="1533"/>
    </row>
    <row r="25" spans="1:3" ht="15.75" thickBot="1" x14ac:dyDescent="0.3">
      <c r="A25" s="118" t="s">
        <v>688</v>
      </c>
      <c r="B25" s="106">
        <f>IF($B$3="Oui",IFERROR(VLOOKUP(A25,'2. VOS DONNEES'!$D$6:$E$283,2,FALSE),0),0)</f>
        <v>0</v>
      </c>
      <c r="C25" s="1533"/>
    </row>
    <row r="26" spans="1:3" ht="15.75" thickBot="1" x14ac:dyDescent="0.3">
      <c r="A26" s="118" t="s">
        <v>692</v>
      </c>
      <c r="B26" s="106">
        <f>IF($B$3="Oui",IFERROR(VLOOKUP(A26,'2. VOS DONNEES'!$D$6:$E$283,2,FALSE),0),0)</f>
        <v>0</v>
      </c>
      <c r="C26" s="1533"/>
    </row>
    <row r="27" spans="1:3" ht="15.75" thickBot="1" x14ac:dyDescent="0.3">
      <c r="A27" s="118" t="s">
        <v>102</v>
      </c>
      <c r="B27" s="106">
        <f>IF($B$3="Oui",IFERROR(VLOOKUP(A27,'2. VOS DONNEES'!$D$6:$E$283,2,FALSE),0),0)</f>
        <v>0</v>
      </c>
      <c r="C27" s="1533"/>
    </row>
    <row r="28" spans="1:3" ht="15.75" thickBot="1" x14ac:dyDescent="0.3">
      <c r="A28" s="118" t="s">
        <v>696</v>
      </c>
      <c r="B28" s="106">
        <f>IF($B$3="Oui",IFERROR(VLOOKUP(A28,'2. VOS DONNEES'!$D$6:$E$283,2,FALSE),0),0)</f>
        <v>0</v>
      </c>
      <c r="C28" s="1533"/>
    </row>
    <row r="29" spans="1:3" ht="15.75" thickBot="1" x14ac:dyDescent="0.3">
      <c r="A29" s="119" t="s">
        <v>103</v>
      </c>
      <c r="B29" s="106">
        <f>IF($B$3="Oui",IFERROR(VLOOKUP(A29,'2. VOS DONNEES'!$D$6:$E$283,2,FALSE),0),0)</f>
        <v>0</v>
      </c>
      <c r="C29" s="1533"/>
    </row>
    <row r="30" spans="1:3" ht="15.75" thickBot="1" x14ac:dyDescent="0.3">
      <c r="A30" s="1227" t="s">
        <v>695</v>
      </c>
      <c r="B30" s="106">
        <f>IF($B$3="Oui",IFERROR(VLOOKUP(A30,'2. VOS DONNEES'!$D$6:$E$283,2,FALSE),0),0)</f>
        <v>0</v>
      </c>
      <c r="C30" s="1533"/>
    </row>
    <row r="31" spans="1:3" ht="15.75" thickBot="1" x14ac:dyDescent="0.3">
      <c r="A31" s="120" t="s">
        <v>698</v>
      </c>
      <c r="B31" s="106">
        <f>IF($B$3="Oui",IFERROR(VLOOKUP(A31,'2. VOS DONNEES'!$D$6:$E$283,2,FALSE),0),0)</f>
        <v>0</v>
      </c>
      <c r="C31" s="1534"/>
    </row>
    <row r="32" spans="1:3" ht="15.75" thickBot="1" x14ac:dyDescent="0.3"/>
    <row r="33" spans="1:3" ht="15.75" thickBot="1" x14ac:dyDescent="0.3">
      <c r="A33" s="3" t="s">
        <v>1267</v>
      </c>
      <c r="B33" s="80" cm="1">
        <f t="array" ref="B33">IF(SUM(B6:B31&lt;1),0,SUM(B6:B31))</f>
        <v>0</v>
      </c>
      <c r="C33" s="3" t="s">
        <v>1033</v>
      </c>
    </row>
    <row r="34" spans="1:3" x14ac:dyDescent="0.25">
      <c r="A34" s="34" t="s">
        <v>1268</v>
      </c>
      <c r="B34" s="643">
        <f>IF(B3="OUI",'2. VOS DONNEES'!E239,0)</f>
        <v>0</v>
      </c>
      <c r="C34" s="34"/>
    </row>
    <row r="35" spans="1:3" ht="15.75" thickBot="1" x14ac:dyDescent="0.3"/>
    <row r="36" spans="1:3" ht="15.75" thickBot="1" x14ac:dyDescent="0.3">
      <c r="A36" s="158" t="s">
        <v>1260</v>
      </c>
    </row>
    <row r="37" spans="1:3" ht="15.75" thickBot="1" x14ac:dyDescent="0.3">
      <c r="A37" s="6" t="s">
        <v>1029</v>
      </c>
      <c r="B37" s="7" t="s">
        <v>62</v>
      </c>
      <c r="C37" s="60" t="s">
        <v>642</v>
      </c>
    </row>
    <row r="38" spans="1:3" ht="15.75" thickBot="1" x14ac:dyDescent="0.3">
      <c r="A38" s="3" t="s">
        <v>1269</v>
      </c>
      <c r="B38" s="80">
        <f>B34</f>
        <v>0</v>
      </c>
      <c r="C38" s="3" t="s">
        <v>1033</v>
      </c>
    </row>
    <row r="39" spans="1:3" ht="15.75" thickBot="1" x14ac:dyDescent="0.3">
      <c r="A39" s="8" t="s">
        <v>1270</v>
      </c>
      <c r="B39" s="8">
        <v>380</v>
      </c>
      <c r="C39" s="8" t="s">
        <v>1115</v>
      </c>
    </row>
    <row r="40" spans="1:3" ht="15.75" thickBot="1" x14ac:dyDescent="0.3"/>
    <row r="41" spans="1:3" ht="15.75" thickBot="1" x14ac:dyDescent="0.3">
      <c r="A41" s="14" t="s">
        <v>659</v>
      </c>
    </row>
    <row r="42" spans="1:3" ht="15.75" thickBot="1" x14ac:dyDescent="0.3">
      <c r="A42" s="61" t="s">
        <v>1271</v>
      </c>
      <c r="B42" s="15">
        <f>B39*B38</f>
        <v>0</v>
      </c>
      <c r="C42" s="8" t="s">
        <v>1115</v>
      </c>
    </row>
  </sheetData>
  <sheetProtection sheet="1" objects="1" scenarios="1"/>
  <mergeCells count="1">
    <mergeCell ref="C7:C31"/>
  </mergeCells>
  <dataValidations count="1">
    <dataValidation type="list" allowBlank="1" showInputMessage="1" showErrorMessage="1" sqref="B3" xr:uid="{915B26DD-4CEC-4443-8FC7-1083D2A34EE3}"/>
  </dataValidations>
  <pageMargins left="0.7" right="0.7" top="0.75" bottom="0.75" header="0.3" footer="0.3"/>
  <pageSetup paperSize="9" orientation="portrait" r:id="rId1"/>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A4FFFD1-DAA7-441A-A61B-C4DD8D56FA20}">
  <sheetPr codeName="Feuil7"/>
  <dimension ref="A1:H77"/>
  <sheetViews>
    <sheetView topLeftCell="A46" zoomScaleNormal="100" workbookViewId="0">
      <selection activeCell="A62" sqref="A62"/>
    </sheetView>
  </sheetViews>
  <sheetFormatPr baseColWidth="10" defaultColWidth="11.42578125" defaultRowHeight="15" x14ac:dyDescent="0.25"/>
  <cols>
    <col min="1" max="1" width="71.7109375" customWidth="1"/>
    <col min="2" max="2" width="57.85546875" customWidth="1"/>
    <col min="5" max="5" width="56.42578125" bestFit="1" customWidth="1"/>
  </cols>
  <sheetData>
    <row r="1" spans="1:3" ht="15.75" thickBot="1" x14ac:dyDescent="0.3"/>
    <row r="2" spans="1:3" ht="15.75" thickBot="1" x14ac:dyDescent="0.3">
      <c r="A2" s="152" t="s">
        <v>1227</v>
      </c>
    </row>
    <row r="3" spans="1:3" ht="15.75" thickBot="1" x14ac:dyDescent="0.3">
      <c r="A3" s="55" t="s">
        <v>1225</v>
      </c>
      <c r="B3" s="269" t="str">
        <f>'2. VOS DONNEES'!E228</f>
        <v>OUI</v>
      </c>
    </row>
    <row r="4" spans="1:3" ht="15.75" thickBot="1" x14ac:dyDescent="0.3">
      <c r="A4" s="6" t="s">
        <v>1272</v>
      </c>
      <c r="B4" s="7" t="s">
        <v>62</v>
      </c>
      <c r="C4" s="4" t="s">
        <v>642</v>
      </c>
    </row>
    <row r="5" spans="1:3" ht="15.75" thickBot="1" x14ac:dyDescent="0.3">
      <c r="A5" s="187" t="s">
        <v>27</v>
      </c>
      <c r="B5" s="270">
        <f>IF(B$3="Oui",IFERROR(VLOOKUP(A5,'2. VOS DONNEES'!$D$4:$E$283,2,FALSE),0),0)</f>
        <v>0</v>
      </c>
      <c r="C5" s="1532" t="s">
        <v>1033</v>
      </c>
    </row>
    <row r="6" spans="1:3" ht="15.75" thickBot="1" x14ac:dyDescent="0.3">
      <c r="A6" s="115" t="s">
        <v>106</v>
      </c>
      <c r="B6" s="270">
        <f>IF(B$3="Oui",IFERROR(VLOOKUP(A6,'2. VOS DONNEES'!$D$4:$E$283,2,FALSE),0),0)</f>
        <v>0</v>
      </c>
      <c r="C6" s="1533"/>
    </row>
    <row r="7" spans="1:3" ht="30.75" thickBot="1" x14ac:dyDescent="0.3">
      <c r="A7" s="188" t="s">
        <v>107</v>
      </c>
      <c r="B7" s="270">
        <f>IF(B$3="Oui",IFERROR(VLOOKUP(A7,'2. VOS DONNEES'!$D$4:$E$283,2,FALSE),0),0)</f>
        <v>0</v>
      </c>
      <c r="C7" s="1533"/>
    </row>
    <row r="8" spans="1:3" ht="15.75" thickBot="1" x14ac:dyDescent="0.3">
      <c r="A8" s="188" t="s">
        <v>108</v>
      </c>
      <c r="B8" s="270">
        <f>IF(B$3="Oui",IFERROR(VLOOKUP(A8,'2. VOS DONNEES'!$D$4:$E$283,2,FALSE),0),0)</f>
        <v>0</v>
      </c>
      <c r="C8" s="1533"/>
    </row>
    <row r="9" spans="1:3" ht="30.75" thickBot="1" x14ac:dyDescent="0.3">
      <c r="A9" s="188" t="s">
        <v>103</v>
      </c>
      <c r="B9" s="270">
        <f>IF(B$3="Oui",IFERROR(VLOOKUP(A9,'2. VOS DONNEES'!$D$4:$E$283,2,FALSE),0),0)</f>
        <v>0</v>
      </c>
      <c r="C9" s="1533"/>
    </row>
    <row r="10" spans="1:3" ht="15.75" thickBot="1" x14ac:dyDescent="0.3">
      <c r="A10" s="188" t="s">
        <v>644</v>
      </c>
      <c r="B10" s="270">
        <f>IF(B$3="Oui",IFERROR(VLOOKUP(A10,'2. VOS DONNEES'!$D$4:$E$283,2,FALSE),0),0)</f>
        <v>0</v>
      </c>
      <c r="C10" s="1533"/>
    </row>
    <row r="11" spans="1:3" ht="15.75" thickBot="1" x14ac:dyDescent="0.3">
      <c r="A11" s="188" t="s">
        <v>110</v>
      </c>
      <c r="B11" s="270">
        <f>IF(B$3="Oui",IFERROR(VLOOKUP(A11,'2. VOS DONNEES'!$D$4:$E$283,2,FALSE),0),0)</f>
        <v>0</v>
      </c>
      <c r="C11" s="1533"/>
    </row>
    <row r="12" spans="1:3" ht="15.75" thickBot="1" x14ac:dyDescent="0.3">
      <c r="A12" s="188" t="s">
        <v>645</v>
      </c>
      <c r="B12" s="270">
        <f>IF(B$3="Oui",IFERROR(VLOOKUP(A12,'2. VOS DONNEES'!$D$4:$E$283,2,FALSE),0),0)</f>
        <v>0</v>
      </c>
      <c r="C12" s="1533"/>
    </row>
    <row r="13" spans="1:3" ht="15.75" thickBot="1" x14ac:dyDescent="0.3">
      <c r="A13" s="189" t="s">
        <v>109</v>
      </c>
      <c r="B13" s="270">
        <f>IF(B$3="Oui",IFERROR(VLOOKUP(A13,'2. VOS DONNEES'!$D$4:$E$283,2,FALSE),0),0)</f>
        <v>0</v>
      </c>
      <c r="C13" s="1533"/>
    </row>
    <row r="14" spans="1:3" ht="15.75" thickBot="1" x14ac:dyDescent="0.3">
      <c r="A14" s="189" t="s">
        <v>646</v>
      </c>
      <c r="B14" s="270">
        <f>IF(B$3="Oui",IFERROR(VLOOKUP(A14,'2. VOS DONNEES'!$D$4:$E$283,2,FALSE),0),0)</f>
        <v>0</v>
      </c>
      <c r="C14" s="1533"/>
    </row>
    <row r="15" spans="1:3" ht="15.75" thickBot="1" x14ac:dyDescent="0.3">
      <c r="A15" s="189" t="s">
        <v>79</v>
      </c>
      <c r="B15" s="270">
        <f>IF(B$3="Oui",IFERROR(VLOOKUP(A15,'2. VOS DONNEES'!$D$4:$E$283,2,FALSE),0),0)</f>
        <v>0</v>
      </c>
      <c r="C15" s="1533"/>
    </row>
    <row r="16" spans="1:3" ht="15.75" thickBot="1" x14ac:dyDescent="0.3">
      <c r="A16" s="189" t="s">
        <v>647</v>
      </c>
      <c r="B16" s="270">
        <f>IF(B$3="Oui",IFERROR(VLOOKUP(A16,'2. VOS DONNEES'!$D$4:$E$283,2,FALSE),0),0)</f>
        <v>0</v>
      </c>
      <c r="C16" s="1533"/>
    </row>
    <row r="17" spans="1:3" ht="15.75" thickBot="1" x14ac:dyDescent="0.3">
      <c r="A17" s="189" t="s">
        <v>648</v>
      </c>
      <c r="B17" s="270">
        <f>IF(B$3="Oui",IFERROR(VLOOKUP(A17,'2. VOS DONNEES'!$D$4:$E$283,2,FALSE),0),0)</f>
        <v>0</v>
      </c>
      <c r="C17" s="1533"/>
    </row>
    <row r="18" spans="1:3" ht="15.75" thickBot="1" x14ac:dyDescent="0.3">
      <c r="A18" s="190" t="s">
        <v>113</v>
      </c>
      <c r="B18" s="270">
        <f>IF(B$3="Oui",IFERROR(VLOOKUP(A18,'2. VOS DONNEES'!$D$4:$E$283,2,FALSE),0),0)</f>
        <v>0</v>
      </c>
      <c r="C18" s="1533"/>
    </row>
    <row r="19" spans="1:3" ht="15.75" thickBot="1" x14ac:dyDescent="0.3">
      <c r="A19" s="191" t="s">
        <v>649</v>
      </c>
      <c r="B19" s="270">
        <f>IF(B$3="Oui",IFERROR(VLOOKUP(A19,'2. VOS DONNEES'!$D$4:$E$283,2,FALSE),0),0)</f>
        <v>0</v>
      </c>
      <c r="C19" s="1534"/>
    </row>
    <row r="20" spans="1:3" ht="15.75" thickBot="1" x14ac:dyDescent="0.3"/>
    <row r="21" spans="1:3" ht="15.75" thickBot="1" x14ac:dyDescent="0.3">
      <c r="A21" s="186" t="s">
        <v>650</v>
      </c>
      <c r="B21" s="271">
        <f>IF(B$3="Oui",IFERROR(VLOOKUP(A21,'2. VOS DONNEES'!$D$6:$E$14,2,FALSE),0),0)</f>
        <v>0</v>
      </c>
    </row>
    <row r="22" spans="1:3" ht="15.75" thickBot="1" x14ac:dyDescent="0.3"/>
    <row r="23" spans="1:3" ht="15.75" thickBot="1" x14ac:dyDescent="0.3">
      <c r="A23" s="49" t="s">
        <v>651</v>
      </c>
      <c r="B23" s="272">
        <f>SUM(B5:B19)</f>
        <v>0</v>
      </c>
      <c r="C23" s="50" t="s">
        <v>1033</v>
      </c>
    </row>
    <row r="24" spans="1:3" ht="30.75" thickBot="1" x14ac:dyDescent="0.3">
      <c r="A24" s="49" t="s">
        <v>652</v>
      </c>
      <c r="B24" s="272">
        <f>B23+B21</f>
        <v>0</v>
      </c>
      <c r="C24" s="50" t="s">
        <v>1033</v>
      </c>
    </row>
    <row r="25" spans="1:3" ht="15.75" thickBot="1" x14ac:dyDescent="0.3"/>
    <row r="26" spans="1:3" ht="15.75" thickBot="1" x14ac:dyDescent="0.3">
      <c r="A26" s="439" t="s">
        <v>653</v>
      </c>
      <c r="B26" s="6" t="s">
        <v>62</v>
      </c>
      <c r="C26" s="242" t="s">
        <v>642</v>
      </c>
    </row>
    <row r="27" spans="1:3" ht="15.75" thickBot="1" x14ac:dyDescent="0.3">
      <c r="A27" s="65" t="s">
        <v>127</v>
      </c>
      <c r="B27" s="273">
        <f>IF($B$3="Oui",VLOOKUP(A27,'2. VOS DONNEES'!$D$103:$E$110,2,FALSE),0)</f>
        <v>0</v>
      </c>
      <c r="C27" s="1535" t="s">
        <v>63</v>
      </c>
    </row>
    <row r="28" spans="1:3" ht="15.75" thickBot="1" x14ac:dyDescent="0.3">
      <c r="A28" s="65" t="s">
        <v>128</v>
      </c>
      <c r="B28" s="273">
        <f>IF($B$3="Oui",VLOOKUP(A28,'2. VOS DONNEES'!$D$103:$E$110,2,FALSE),0)</f>
        <v>0</v>
      </c>
      <c r="C28" s="1536"/>
    </row>
    <row r="29" spans="1:3" ht="15.75" thickBot="1" x14ac:dyDescent="0.3">
      <c r="A29" s="65" t="s">
        <v>130</v>
      </c>
      <c r="B29" s="273">
        <f>IF($B$3="Oui",VLOOKUP(A29,'2. VOS DONNEES'!$D$103:$E$110,2,FALSE),0)</f>
        <v>0</v>
      </c>
      <c r="C29" s="1536"/>
    </row>
    <row r="30" spans="1:3" ht="15.75" thickBot="1" x14ac:dyDescent="0.3">
      <c r="A30" s="65" t="s">
        <v>131</v>
      </c>
      <c r="B30" s="273">
        <f>IF($B$3="Oui",VLOOKUP(A30,'2. VOS DONNEES'!$D$103:$E$110,2,FALSE),0)</f>
        <v>0</v>
      </c>
      <c r="C30" s="1536"/>
    </row>
    <row r="31" spans="1:3" ht="15.75" thickBot="1" x14ac:dyDescent="0.3">
      <c r="A31" s="65" t="s">
        <v>132</v>
      </c>
      <c r="B31" s="273">
        <f>IF($B$3="Oui",VLOOKUP(A31,'2. VOS DONNEES'!$D$103:$E$110,2,FALSE),0)</f>
        <v>0</v>
      </c>
      <c r="C31" s="1536"/>
    </row>
    <row r="32" spans="1:3" ht="15.75" thickBot="1" x14ac:dyDescent="0.3">
      <c r="A32" s="65" t="s">
        <v>134</v>
      </c>
      <c r="B32" s="273">
        <f>IF($B$3="Oui",VLOOKUP(A32,'2. VOS DONNEES'!$D$103:$E$110,2,FALSE),0)</f>
        <v>0</v>
      </c>
      <c r="C32" s="1536"/>
    </row>
    <row r="33" spans="1:8" ht="15.75" thickBot="1" x14ac:dyDescent="0.3">
      <c r="A33" s="435" t="s">
        <v>136</v>
      </c>
      <c r="B33" s="273">
        <f>IF($B$3="Oui",VLOOKUP(A33,'2. VOS DONNEES'!$D$103:$E$110,2,FALSE),0)</f>
        <v>0</v>
      </c>
      <c r="C33" s="1536"/>
    </row>
    <row r="34" spans="1:8" ht="15.75" thickBot="1" x14ac:dyDescent="0.3">
      <c r="A34" s="293" t="s">
        <v>138</v>
      </c>
      <c r="B34" s="273">
        <f>IF($B$3="Oui",VLOOKUP(A34,'2. VOS DONNEES'!$D$103:$E$110,2,FALSE),0)</f>
        <v>0</v>
      </c>
      <c r="C34" s="1537"/>
    </row>
    <row r="35" spans="1:8" ht="15.75" thickBot="1" x14ac:dyDescent="0.3">
      <c r="E35" s="56" t="s">
        <v>654</v>
      </c>
    </row>
    <row r="36" spans="1:8" ht="15.75" thickBot="1" x14ac:dyDescent="0.3">
      <c r="A36" s="7" t="s">
        <v>654</v>
      </c>
      <c r="B36" s="57"/>
      <c r="C36" s="299"/>
      <c r="E36" s="430" t="s">
        <v>656</v>
      </c>
      <c r="F36" s="431" t="s">
        <v>657</v>
      </c>
      <c r="G36" s="432" t="s">
        <v>658</v>
      </c>
      <c r="H36" s="433" t="s">
        <v>659</v>
      </c>
    </row>
    <row r="37" spans="1:8" ht="16.5" thickBot="1" x14ac:dyDescent="0.3">
      <c r="A37" s="428" t="s">
        <v>127</v>
      </c>
      <c r="B37" s="274">
        <f t="shared" ref="B37:B44" si="0">VLOOKUP(A37,$E$37:$H$44,4,FALSE)</f>
        <v>0</v>
      </c>
      <c r="C37" s="1532" t="s">
        <v>655</v>
      </c>
      <c r="E37" s="65" t="s">
        <v>127</v>
      </c>
      <c r="F37" s="268">
        <f>VLOOKUP(E37,'2. VOS DONNEES'!$D$103:$E$110,2,FALSE)</f>
        <v>0</v>
      </c>
      <c r="G37" s="185">
        <v>1</v>
      </c>
      <c r="H37" s="434">
        <f>F37*G37</f>
        <v>0</v>
      </c>
    </row>
    <row r="38" spans="1:8" ht="16.5" thickBot="1" x14ac:dyDescent="0.3">
      <c r="A38" s="428" t="s">
        <v>128</v>
      </c>
      <c r="B38" s="274">
        <f>VLOOKUP(A38,$E$37:$H$44,4,FALSE)</f>
        <v>0</v>
      </c>
      <c r="C38" s="1533"/>
      <c r="E38" s="65" t="s">
        <v>128</v>
      </c>
      <c r="F38" s="268">
        <f>VLOOKUP(E38,'2. VOS DONNEES'!$D$103:$E$110,2,FALSE)</f>
        <v>0</v>
      </c>
      <c r="G38" s="185">
        <v>1</v>
      </c>
      <c r="H38" s="434">
        <f>F38*G38</f>
        <v>0</v>
      </c>
    </row>
    <row r="39" spans="1:8" ht="16.5" thickBot="1" x14ac:dyDescent="0.3">
      <c r="A39" s="428" t="s">
        <v>130</v>
      </c>
      <c r="B39" s="274">
        <f t="shared" si="0"/>
        <v>0</v>
      </c>
      <c r="C39" s="1533"/>
      <c r="E39" s="65" t="s">
        <v>130</v>
      </c>
      <c r="F39" s="268">
        <f>VLOOKUP(E39,'2. VOS DONNEES'!$D$103:$E$110,2,FALSE)</f>
        <v>0</v>
      </c>
      <c r="G39" s="185">
        <v>0.8</v>
      </c>
      <c r="H39" s="434">
        <f t="shared" ref="H39:H44" si="1">F39*G39</f>
        <v>0</v>
      </c>
    </row>
    <row r="40" spans="1:8" ht="16.5" thickBot="1" x14ac:dyDescent="0.3">
      <c r="A40" s="428" t="s">
        <v>131</v>
      </c>
      <c r="B40" s="274">
        <f t="shared" si="0"/>
        <v>0</v>
      </c>
      <c r="C40" s="1533"/>
      <c r="E40" s="65" t="s">
        <v>131</v>
      </c>
      <c r="F40" s="268">
        <f>VLOOKUP(E40,'2. VOS DONNEES'!$D$103:$E$110,2,FALSE)</f>
        <v>0</v>
      </c>
      <c r="G40" s="185">
        <v>0.7</v>
      </c>
      <c r="H40" s="434">
        <f t="shared" si="1"/>
        <v>0</v>
      </c>
    </row>
    <row r="41" spans="1:8" ht="16.5" thickBot="1" x14ac:dyDescent="0.3">
      <c r="A41" s="428" t="s">
        <v>132</v>
      </c>
      <c r="B41" s="274">
        <f t="shared" si="0"/>
        <v>0</v>
      </c>
      <c r="C41" s="1533"/>
      <c r="E41" s="65" t="s">
        <v>132</v>
      </c>
      <c r="F41" s="268">
        <f>VLOOKUP(E41,'2. VOS DONNEES'!$D$103:$E$110,2,FALSE)</f>
        <v>0</v>
      </c>
      <c r="G41" s="185">
        <v>0.4</v>
      </c>
      <c r="H41" s="434">
        <f t="shared" si="1"/>
        <v>0</v>
      </c>
    </row>
    <row r="42" spans="1:8" ht="16.5" thickBot="1" x14ac:dyDescent="0.3">
      <c r="A42" s="428" t="s">
        <v>134</v>
      </c>
      <c r="B42" s="274">
        <f t="shared" si="0"/>
        <v>0</v>
      </c>
      <c r="C42" s="1533"/>
      <c r="E42" s="65" t="s">
        <v>134</v>
      </c>
      <c r="F42" s="268">
        <f>VLOOKUP(E42,'2. VOS DONNEES'!$D$103:$E$110,2,FALSE)</f>
        <v>0</v>
      </c>
      <c r="G42" s="185">
        <v>0.1</v>
      </c>
      <c r="H42" s="434">
        <f t="shared" si="1"/>
        <v>0</v>
      </c>
    </row>
    <row r="43" spans="1:8" ht="16.5" thickBot="1" x14ac:dyDescent="0.3">
      <c r="A43" s="428" t="s">
        <v>136</v>
      </c>
      <c r="B43" s="274">
        <f t="shared" si="0"/>
        <v>0</v>
      </c>
      <c r="C43" s="1533"/>
      <c r="E43" s="435" t="s">
        <v>136</v>
      </c>
      <c r="F43" s="268">
        <f>VLOOKUP(E43,'2. VOS DONNEES'!$D$103:$E$110,2,FALSE)</f>
        <v>0</v>
      </c>
      <c r="G43" s="185">
        <v>0.8</v>
      </c>
      <c r="H43" s="434">
        <f t="shared" si="1"/>
        <v>0</v>
      </c>
    </row>
    <row r="44" spans="1:8" ht="16.5" thickBot="1" x14ac:dyDescent="0.3">
      <c r="A44" s="429" t="s">
        <v>138</v>
      </c>
      <c r="B44" s="274">
        <f t="shared" si="0"/>
        <v>0</v>
      </c>
      <c r="C44" s="1534"/>
      <c r="E44" s="293" t="s">
        <v>138</v>
      </c>
      <c r="F44" s="436">
        <f>VLOOKUP(E44,'2. VOS DONNEES'!$D$103:$E$110,2,FALSE)</f>
        <v>0</v>
      </c>
      <c r="G44" s="437">
        <v>0.2</v>
      </c>
      <c r="H44" s="438">
        <f t="shared" si="1"/>
        <v>0</v>
      </c>
    </row>
    <row r="45" spans="1:8" ht="15.75" thickBot="1" x14ac:dyDescent="0.3"/>
    <row r="46" spans="1:8" ht="16.5" thickBot="1" x14ac:dyDescent="0.3">
      <c r="A46" s="53" t="s">
        <v>1273</v>
      </c>
      <c r="B46" s="184">
        <f>SUM(B37:B44)</f>
        <v>0</v>
      </c>
      <c r="C46" s="34" t="s">
        <v>655</v>
      </c>
    </row>
    <row r="47" spans="1:8" ht="15.75" thickBot="1" x14ac:dyDescent="0.3"/>
    <row r="48" spans="1:8" ht="15.75" thickBot="1" x14ac:dyDescent="0.3">
      <c r="A48" s="158" t="s">
        <v>1260</v>
      </c>
    </row>
    <row r="49" spans="1:6" ht="15.75" thickBot="1" x14ac:dyDescent="0.3">
      <c r="A49" s="6" t="s">
        <v>1274</v>
      </c>
      <c r="B49" s="6" t="s">
        <v>62</v>
      </c>
      <c r="C49" s="4" t="s">
        <v>642</v>
      </c>
    </row>
    <row r="50" spans="1:6" ht="15.75" thickBot="1" x14ac:dyDescent="0.3"/>
    <row r="51" spans="1:6" ht="15.75" thickBot="1" x14ac:dyDescent="0.3">
      <c r="A51" s="46" t="s">
        <v>421</v>
      </c>
    </row>
    <row r="52" spans="1:6" ht="15.75" thickBot="1" x14ac:dyDescent="0.3">
      <c r="A52" s="14" t="s">
        <v>1275</v>
      </c>
      <c r="B52" s="275">
        <f>IFERROR(B46/B24,99999999)</f>
        <v>99999999</v>
      </c>
      <c r="C52" s="14" t="s">
        <v>663</v>
      </c>
    </row>
    <row r="53" spans="1:6" ht="15.75" thickBot="1" x14ac:dyDescent="0.3">
      <c r="A53" s="47" t="s">
        <v>1276</v>
      </c>
      <c r="B53" s="14" t="str">
        <f>IF(B52=0,0,IF(B52&lt;=0.6,"TABLEAU A","TABLEAU B"))</f>
        <v>TABLEAU B</v>
      </c>
      <c r="C53" s="14" t="s">
        <v>1277</v>
      </c>
    </row>
    <row r="55" spans="1:6" ht="15.75" thickBot="1" x14ac:dyDescent="0.3">
      <c r="A55" s="48" t="s">
        <v>1278</v>
      </c>
    </row>
    <row r="56" spans="1:6" ht="15.75" thickBot="1" x14ac:dyDescent="0.3">
      <c r="A56" s="52" t="s">
        <v>1279</v>
      </c>
      <c r="B56" s="276" t="str">
        <f>IF(B52&lt;=0.6,SUM(B5+B7+B18+B19),"0")</f>
        <v>0</v>
      </c>
      <c r="C56" s="8" t="s">
        <v>1033</v>
      </c>
    </row>
    <row r="57" spans="1:6" ht="15.75" thickBot="1" x14ac:dyDescent="0.3">
      <c r="A57" s="52" t="s">
        <v>1275</v>
      </c>
      <c r="B57" s="277" t="str">
        <f>IF(B52&lt;=0.6,B52,"0")</f>
        <v>0</v>
      </c>
      <c r="C57" s="8" t="s">
        <v>663</v>
      </c>
    </row>
    <row r="58" spans="1:6" ht="15.75" thickBot="1" x14ac:dyDescent="0.3">
      <c r="A58" s="52" t="s">
        <v>1280</v>
      </c>
      <c r="B58" s="278">
        <f>IF(B57="0",0,B57/0.6)</f>
        <v>0</v>
      </c>
      <c r="C58" s="8" t="s">
        <v>1156</v>
      </c>
    </row>
    <row r="59" spans="1:6" ht="15.75" thickBot="1" x14ac:dyDescent="0.3">
      <c r="A59" s="52" t="s">
        <v>1281</v>
      </c>
      <c r="B59" s="277">
        <v>40</v>
      </c>
      <c r="C59" s="8" t="s">
        <v>1265</v>
      </c>
    </row>
    <row r="60" spans="1:6" ht="15.75" thickBot="1" x14ac:dyDescent="0.3">
      <c r="A60" s="14" t="s">
        <v>1282</v>
      </c>
      <c r="B60" s="279">
        <f>IF(B57="0",0,B58*B59*B56)</f>
        <v>0</v>
      </c>
      <c r="C60" s="8" t="s">
        <v>1115</v>
      </c>
    </row>
    <row r="61" spans="1:6" x14ac:dyDescent="0.25">
      <c r="A61" s="1253" t="s">
        <v>1447</v>
      </c>
      <c r="B61">
        <f>B56*B58</f>
        <v>0</v>
      </c>
    </row>
    <row r="63" spans="1:6" ht="15.75" thickBot="1" x14ac:dyDescent="0.3">
      <c r="A63" s="48" t="s">
        <v>1283</v>
      </c>
      <c r="E63" t="s">
        <v>1284</v>
      </c>
      <c r="F63" t="s">
        <v>1281</v>
      </c>
    </row>
    <row r="64" spans="1:6" ht="15.75" thickBot="1" x14ac:dyDescent="0.3">
      <c r="A64" s="52" t="s">
        <v>1279</v>
      </c>
      <c r="B64" s="184">
        <f>IF(B52=0,0,IF(B53="TABLEAU B",SUM(B5+B7+B18+B19),"0"))</f>
        <v>0</v>
      </c>
      <c r="C64" s="8" t="s">
        <v>1033</v>
      </c>
      <c r="E64" s="185">
        <v>0</v>
      </c>
      <c r="F64" s="185">
        <v>0</v>
      </c>
    </row>
    <row r="65" spans="1:6" ht="15.75" thickBot="1" x14ac:dyDescent="0.3">
      <c r="A65" s="52" t="s">
        <v>1275</v>
      </c>
      <c r="B65" s="184">
        <f>IF(B52=0,0,IF(B53="TABLEAU B",B52,"0"))</f>
        <v>99999999</v>
      </c>
      <c r="C65" t="s">
        <v>663</v>
      </c>
      <c r="E65" s="185">
        <v>0.6</v>
      </c>
      <c r="F65" s="185">
        <v>68</v>
      </c>
    </row>
    <row r="66" spans="1:6" ht="15.75" thickBot="1" x14ac:dyDescent="0.3">
      <c r="A66" s="14" t="s">
        <v>1285</v>
      </c>
      <c r="B66" s="184">
        <f>IF(B52=0,0,IF(B52&gt;0.6,B64*40,"0"))</f>
        <v>0</v>
      </c>
      <c r="C66" s="8" t="s">
        <v>1115</v>
      </c>
      <c r="E66" s="185">
        <v>2</v>
      </c>
      <c r="F66" s="185">
        <v>58</v>
      </c>
    </row>
    <row r="67" spans="1:6" ht="15.75" thickBot="1" x14ac:dyDescent="0.3">
      <c r="A67" t="s">
        <v>1286</v>
      </c>
      <c r="B67">
        <f>B66+B60</f>
        <v>0</v>
      </c>
      <c r="E67" s="185">
        <v>2.2000000000000002</v>
      </c>
      <c r="F67" s="185">
        <v>48</v>
      </c>
    </row>
    <row r="68" spans="1:6" ht="15.75" thickBot="1" x14ac:dyDescent="0.3">
      <c r="A68" s="7" t="s">
        <v>1287</v>
      </c>
      <c r="E68" s="185">
        <v>2.4</v>
      </c>
      <c r="F68" s="185">
        <v>38</v>
      </c>
    </row>
    <row r="69" spans="1:6" ht="15.75" thickBot="1" x14ac:dyDescent="0.3">
      <c r="A69" s="6" t="s">
        <v>1288</v>
      </c>
      <c r="B69" s="6" t="s">
        <v>62</v>
      </c>
      <c r="C69" s="4" t="s">
        <v>642</v>
      </c>
      <c r="E69" s="185">
        <v>2.6</v>
      </c>
      <c r="F69" s="185">
        <v>28</v>
      </c>
    </row>
    <row r="70" spans="1:6" ht="15.75" thickBot="1" x14ac:dyDescent="0.3">
      <c r="E70" s="185">
        <v>2.8</v>
      </c>
      <c r="F70" s="185">
        <v>18</v>
      </c>
    </row>
    <row r="71" spans="1:6" ht="15.75" thickBot="1" x14ac:dyDescent="0.3">
      <c r="A71" s="52" t="s">
        <v>1279</v>
      </c>
      <c r="B71" s="280">
        <f>IF(B72&gt;=0.6,SUM(B5+B7+B18+B19),(SUM(B5+B7+B18+B19))/0.6*B72)</f>
        <v>0</v>
      </c>
      <c r="C71" s="8" t="s">
        <v>1033</v>
      </c>
      <c r="E71" s="185">
        <v>2.9999899999999999</v>
      </c>
      <c r="F71" s="185">
        <v>0</v>
      </c>
    </row>
    <row r="72" spans="1:6" ht="15.75" thickBot="1" x14ac:dyDescent="0.3">
      <c r="A72" s="52" t="s">
        <v>1275</v>
      </c>
      <c r="B72" s="281">
        <f>B52</f>
        <v>99999999</v>
      </c>
      <c r="C72" s="8" t="s">
        <v>663</v>
      </c>
      <c r="E72" s="185">
        <v>100</v>
      </c>
      <c r="F72" s="185">
        <v>0</v>
      </c>
    </row>
    <row r="73" spans="1:6" ht="15.75" thickBot="1" x14ac:dyDescent="0.3">
      <c r="A73" s="52" t="s">
        <v>1289</v>
      </c>
      <c r="B73" s="184">
        <f>E74</f>
        <v>0</v>
      </c>
      <c r="C73" s="8" t="s">
        <v>1265</v>
      </c>
    </row>
    <row r="74" spans="1:6" ht="15.75" thickBot="1" x14ac:dyDescent="0.3">
      <c r="A74" s="14" t="s">
        <v>1290</v>
      </c>
      <c r="B74" s="282">
        <f>B73*B71</f>
        <v>0</v>
      </c>
      <c r="C74" s="8"/>
      <c r="E74" s="51">
        <f>IF(B72&gt;=0.6,VLOOKUP(B72,$E$64:$F$72,2,1),F65)</f>
        <v>0</v>
      </c>
    </row>
    <row r="76" spans="1:6" x14ac:dyDescent="0.25">
      <c r="A76" s="361" t="s">
        <v>1291</v>
      </c>
      <c r="B76">
        <f>+B74+B67</f>
        <v>0</v>
      </c>
    </row>
    <row r="77" spans="1:6" x14ac:dyDescent="0.25">
      <c r="B77" s="84"/>
    </row>
  </sheetData>
  <sheetProtection sheet="1" objects="1" scenarios="1"/>
  <mergeCells count="3">
    <mergeCell ref="C5:C19"/>
    <mergeCell ref="C27:C34"/>
    <mergeCell ref="C37:C44"/>
  </mergeCells>
  <dataValidations count="1">
    <dataValidation type="list" allowBlank="1" showInputMessage="1" showErrorMessage="1" sqref="B3" xr:uid="{BAE2CBD6-661F-485A-AF58-3055FC3A9F41}"/>
  </dataValidations>
  <pageMargins left="0.7" right="0.7" top="0.75" bottom="0.75" header="0.3" footer="0.3"/>
  <pageSetup paperSize="9" orientation="portrait" r:id="rId1"/>
  <legacyDrawing r:id="rId2"/>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EBC140C-8304-48BB-B924-6D45B0618C94}">
  <sheetPr codeName="Feuil8"/>
  <dimension ref="A1:G55"/>
  <sheetViews>
    <sheetView topLeftCell="A20" zoomScale="90" zoomScaleNormal="90" workbookViewId="0">
      <selection activeCell="E40" sqref="E40"/>
    </sheetView>
  </sheetViews>
  <sheetFormatPr baseColWidth="10" defaultColWidth="11.42578125" defaultRowHeight="15" x14ac:dyDescent="0.25"/>
  <cols>
    <col min="1" max="1" width="103.7109375" bestFit="1" customWidth="1"/>
    <col min="2" max="2" width="82.5703125" customWidth="1"/>
    <col min="3" max="3" width="9.42578125" customWidth="1"/>
    <col min="6" max="6" width="13.85546875" bestFit="1" customWidth="1"/>
  </cols>
  <sheetData>
    <row r="1" spans="1:3" ht="15.75" thickBot="1" x14ac:dyDescent="0.3"/>
    <row r="2" spans="1:3" ht="15.75" thickBot="1" x14ac:dyDescent="0.3">
      <c r="A2" s="152" t="s">
        <v>1227</v>
      </c>
    </row>
    <row r="3" spans="1:3" ht="15.75" thickBot="1" x14ac:dyDescent="0.3">
      <c r="A3" s="55" t="s">
        <v>1292</v>
      </c>
      <c r="B3" s="269" t="str">
        <f>'2. VOS DONNEES'!E173</f>
        <v>NON</v>
      </c>
      <c r="C3" s="44" t="s">
        <v>1293</v>
      </c>
    </row>
    <row r="4" spans="1:3" ht="15.75" thickBot="1" x14ac:dyDescent="0.3">
      <c r="B4" s="54"/>
    </row>
    <row r="5" spans="1:3" ht="15.75" thickBot="1" x14ac:dyDescent="0.3">
      <c r="A5" s="7" t="s">
        <v>1272</v>
      </c>
      <c r="B5" s="114" t="s">
        <v>62</v>
      </c>
      <c r="C5" s="4" t="s">
        <v>642</v>
      </c>
    </row>
    <row r="6" spans="1:3" ht="15.75" customHeight="1" thickBot="1" x14ac:dyDescent="0.3">
      <c r="A6" s="187" t="s">
        <v>27</v>
      </c>
      <c r="B6" s="283">
        <f>IF(B$3="Oui",IFERROR(VLOOKUP(A6,'2. VOS DONNEES'!$D$4:$E$283,2,FALSE),0),0)</f>
        <v>0</v>
      </c>
      <c r="C6" s="1538" t="s">
        <v>1033</v>
      </c>
    </row>
    <row r="7" spans="1:3" ht="15.75" thickBot="1" x14ac:dyDescent="0.3">
      <c r="A7" s="115" t="s">
        <v>106</v>
      </c>
      <c r="B7" s="283">
        <f>IF(B$3="Oui",IFERROR(VLOOKUP(A7,'2. VOS DONNEES'!$D$4:$E$283,2,FALSE),0),0)</f>
        <v>0</v>
      </c>
      <c r="C7" s="1538"/>
    </row>
    <row r="8" spans="1:3" ht="15.75" thickBot="1" x14ac:dyDescent="0.3">
      <c r="A8" s="188" t="s">
        <v>107</v>
      </c>
      <c r="B8" s="283">
        <f>IF(B$3="Oui",IFERROR(VLOOKUP(A8,'2. VOS DONNEES'!$D$4:$E$283,2,FALSE),0),0)</f>
        <v>0</v>
      </c>
      <c r="C8" s="1538"/>
    </row>
    <row r="9" spans="1:3" ht="15.75" thickBot="1" x14ac:dyDescent="0.3">
      <c r="A9" s="188" t="s">
        <v>108</v>
      </c>
      <c r="B9" s="283">
        <f>IF(B$3="Oui",IFERROR(VLOOKUP(A9,'2. VOS DONNEES'!$D$4:$E$283,2,FALSE),0),0)</f>
        <v>0</v>
      </c>
      <c r="C9" s="1538"/>
    </row>
    <row r="10" spans="1:3" ht="15.75" thickBot="1" x14ac:dyDescent="0.3">
      <c r="A10" s="188" t="s">
        <v>103</v>
      </c>
      <c r="B10" s="283">
        <f>IF(B$3="Oui",IFERROR(VLOOKUP(A10,'2. VOS DONNEES'!$D$4:$E$283,2,FALSE),0),0)</f>
        <v>0</v>
      </c>
      <c r="C10" s="1538"/>
    </row>
    <row r="11" spans="1:3" ht="15.75" thickBot="1" x14ac:dyDescent="0.3">
      <c r="A11" s="188" t="s">
        <v>644</v>
      </c>
      <c r="B11" s="283">
        <f>IF(B$3="Oui",IFERROR(VLOOKUP(A11,'2. VOS DONNEES'!$D$4:$E$283,2,FALSE),0),0)</f>
        <v>0</v>
      </c>
      <c r="C11" s="1538"/>
    </row>
    <row r="12" spans="1:3" ht="15.75" thickBot="1" x14ac:dyDescent="0.3">
      <c r="A12" s="188" t="s">
        <v>110</v>
      </c>
      <c r="B12" s="283">
        <f>IF(B$3="Oui",IFERROR(VLOOKUP(A12,'2. VOS DONNEES'!$D$4:$E$283,2,FALSE),0),0)</f>
        <v>0</v>
      </c>
      <c r="C12" s="1538"/>
    </row>
    <row r="13" spans="1:3" ht="15.75" thickBot="1" x14ac:dyDescent="0.3">
      <c r="A13" s="188" t="s">
        <v>645</v>
      </c>
      <c r="B13" s="283">
        <f>IF(B$3="Oui",IFERROR(VLOOKUP(A13,'2. VOS DONNEES'!$D$4:$E$283,2,FALSE),0),0)</f>
        <v>0</v>
      </c>
      <c r="C13" s="1538"/>
    </row>
    <row r="14" spans="1:3" ht="15.75" thickBot="1" x14ac:dyDescent="0.3">
      <c r="A14" s="189" t="s">
        <v>109</v>
      </c>
      <c r="B14" s="283">
        <f>IF(B$3="Oui",IFERROR(VLOOKUP(A14,'2. VOS DONNEES'!$D$4:$E$283,2,FALSE),0),0)</f>
        <v>0</v>
      </c>
      <c r="C14" s="1538"/>
    </row>
    <row r="15" spans="1:3" ht="15.75" thickBot="1" x14ac:dyDescent="0.3">
      <c r="A15" s="189" t="s">
        <v>646</v>
      </c>
      <c r="B15" s="283">
        <f>IF(B$3="Oui",IFERROR(VLOOKUP(A15,'2. VOS DONNEES'!$D$4:$E$283,2,FALSE),0),0)</f>
        <v>0</v>
      </c>
      <c r="C15" s="1538"/>
    </row>
    <row r="16" spans="1:3" ht="15.75" thickBot="1" x14ac:dyDescent="0.3">
      <c r="A16" s="189" t="s">
        <v>79</v>
      </c>
      <c r="B16" s="283">
        <f>IF(B$3="Oui",IFERROR(VLOOKUP(A16,'2. VOS DONNEES'!$D$4:$E$283,2,FALSE),0),0)</f>
        <v>0</v>
      </c>
      <c r="C16" s="1538"/>
    </row>
    <row r="17" spans="1:3" ht="15.75" thickBot="1" x14ac:dyDescent="0.3">
      <c r="A17" s="189" t="s">
        <v>647</v>
      </c>
      <c r="B17" s="283">
        <f>IF(B$3="Oui",IFERROR(VLOOKUP(A17,'2. VOS DONNEES'!$D$4:$E$283,2,FALSE),0),0)</f>
        <v>0</v>
      </c>
      <c r="C17" s="1538"/>
    </row>
    <row r="18" spans="1:3" ht="15.75" thickBot="1" x14ac:dyDescent="0.3">
      <c r="A18" s="189" t="s">
        <v>648</v>
      </c>
      <c r="B18" s="283">
        <f>IF(B$3="Oui",IFERROR(VLOOKUP(A18,'2. VOS DONNEES'!$D$4:$E$283,2,FALSE),0),0)</f>
        <v>0</v>
      </c>
      <c r="C18" s="1538"/>
    </row>
    <row r="19" spans="1:3" ht="15.75" thickBot="1" x14ac:dyDescent="0.3">
      <c r="A19" s="190" t="s">
        <v>113</v>
      </c>
      <c r="B19" s="283">
        <f>IF(B$3="Oui",IFERROR(VLOOKUP(A19,'2. VOS DONNEES'!$D$4:$E$283,2,FALSE),0),0)</f>
        <v>0</v>
      </c>
      <c r="C19" s="1538"/>
    </row>
    <row r="20" spans="1:3" ht="15.75" thickBot="1" x14ac:dyDescent="0.3">
      <c r="A20" s="191" t="s">
        <v>649</v>
      </c>
      <c r="B20" s="283">
        <f>IF(B$3="Oui",IFERROR(VLOOKUP(A20,'2. VOS DONNEES'!$D$4:$E$283,2,FALSE),0),0)</f>
        <v>0</v>
      </c>
      <c r="C20" s="1539"/>
    </row>
    <row r="21" spans="1:3" ht="15.75" thickBot="1" x14ac:dyDescent="0.3"/>
    <row r="22" spans="1:3" ht="15.75" thickBot="1" x14ac:dyDescent="0.3">
      <c r="A22" s="89" t="s">
        <v>650</v>
      </c>
      <c r="B22" s="271">
        <f>IF(B$3="Oui",IFERROR(VLOOKUP(A22,'2. VOS DONNEES'!$D$6:$E$14,2,FALSE),0),0)</f>
        <v>0</v>
      </c>
    </row>
    <row r="23" spans="1:3" ht="15.75" thickBot="1" x14ac:dyDescent="0.3"/>
    <row r="24" spans="1:3" ht="15.75" thickBot="1" x14ac:dyDescent="0.3">
      <c r="A24" s="89" t="s">
        <v>651</v>
      </c>
      <c r="B24" s="272">
        <f>SUM(B6:B20)</f>
        <v>0</v>
      </c>
      <c r="C24" s="45" t="s">
        <v>1033</v>
      </c>
    </row>
    <row r="25" spans="1:3" ht="15.75" thickBot="1" x14ac:dyDescent="0.3">
      <c r="A25" s="49" t="s">
        <v>652</v>
      </c>
      <c r="B25" s="272">
        <f>B24+B22</f>
        <v>0</v>
      </c>
      <c r="C25" s="50" t="s">
        <v>1033</v>
      </c>
    </row>
    <row r="26" spans="1:3" ht="15.75" thickBot="1" x14ac:dyDescent="0.3"/>
    <row r="27" spans="1:3" ht="15.75" thickBot="1" x14ac:dyDescent="0.3">
      <c r="A27" s="320" t="s">
        <v>653</v>
      </c>
      <c r="B27" s="6" t="s">
        <v>62</v>
      </c>
      <c r="C27" s="242" t="s">
        <v>642</v>
      </c>
    </row>
    <row r="28" spans="1:3" ht="16.5" thickBot="1" x14ac:dyDescent="0.3">
      <c r="A28" s="321" t="s">
        <v>127</v>
      </c>
      <c r="B28" s="319">
        <f>IF($B$3="Oui",VLOOKUP('CALCUL - MAEC AF'!A28,'2. VOS DONNEES'!$D$103:$E$110,2,FALSE),0)</f>
        <v>0</v>
      </c>
      <c r="C28" s="1540" t="s">
        <v>63</v>
      </c>
    </row>
    <row r="29" spans="1:3" ht="16.5" thickBot="1" x14ac:dyDescent="0.3">
      <c r="A29" s="321" t="s">
        <v>128</v>
      </c>
      <c r="B29" s="319">
        <f>IF($B$3="Oui",VLOOKUP('CALCUL - MAEC AF'!A29,'2. VOS DONNEES'!$D$103:$E$110,2,FALSE),0)</f>
        <v>0</v>
      </c>
      <c r="C29" s="1541"/>
    </row>
    <row r="30" spans="1:3" ht="16.5" thickBot="1" x14ac:dyDescent="0.3">
      <c r="A30" s="321" t="s">
        <v>130</v>
      </c>
      <c r="B30" s="319">
        <f>IF($B$3="Oui",VLOOKUP('CALCUL - MAEC AF'!A30,'2. VOS DONNEES'!$D$103:$E$110,2,FALSE),0)</f>
        <v>0</v>
      </c>
      <c r="C30" s="1541"/>
    </row>
    <row r="31" spans="1:3" ht="16.5" thickBot="1" x14ac:dyDescent="0.3">
      <c r="A31" s="321" t="s">
        <v>131</v>
      </c>
      <c r="B31" s="319">
        <f>IF($B$3="Oui",VLOOKUP('CALCUL - MAEC AF'!A31,'2. VOS DONNEES'!$D$103:$E$110,2,FALSE),0)</f>
        <v>0</v>
      </c>
      <c r="C31" s="1541"/>
    </row>
    <row r="32" spans="1:3" ht="16.5" thickBot="1" x14ac:dyDescent="0.3">
      <c r="A32" s="321" t="s">
        <v>132</v>
      </c>
      <c r="B32" s="319">
        <f>IF($B$3="Oui",VLOOKUP('CALCUL - MAEC AF'!A32,'2. VOS DONNEES'!$D$103:$E$110,2,FALSE),0)</f>
        <v>0</v>
      </c>
      <c r="C32" s="1541"/>
    </row>
    <row r="33" spans="1:7" ht="16.5" thickBot="1" x14ac:dyDescent="0.3">
      <c r="A33" s="321" t="s">
        <v>134</v>
      </c>
      <c r="B33" s="319">
        <f>IF($B$3="Oui",VLOOKUP('CALCUL - MAEC AF'!A33,'2. VOS DONNEES'!$D$103:$E$110,2,FALSE),0)</f>
        <v>0</v>
      </c>
      <c r="C33" s="1541"/>
    </row>
    <row r="34" spans="1:7" ht="16.5" thickBot="1" x14ac:dyDescent="0.3">
      <c r="A34" s="321" t="s">
        <v>136</v>
      </c>
      <c r="B34" s="319">
        <f>IF($B$3="Oui",VLOOKUP('CALCUL - MAEC AF'!A34,'2. VOS DONNEES'!$D$103:$E$110,2,FALSE),0)</f>
        <v>0</v>
      </c>
      <c r="C34" s="1541"/>
    </row>
    <row r="35" spans="1:7" ht="16.5" thickBot="1" x14ac:dyDescent="0.3">
      <c r="A35" s="321" t="s">
        <v>138</v>
      </c>
      <c r="B35" s="319">
        <f>IF($B$3="Oui",VLOOKUP('CALCUL - MAEC AF'!A35,'2. VOS DONNEES'!$D$103:$E$110,2,FALSE),0)</f>
        <v>0</v>
      </c>
      <c r="C35" s="1541"/>
    </row>
    <row r="36" spans="1:7" ht="15.75" thickBot="1" x14ac:dyDescent="0.3"/>
    <row r="37" spans="1:7" ht="15.75" thickBot="1" x14ac:dyDescent="0.3">
      <c r="A37" s="89" t="s">
        <v>654</v>
      </c>
    </row>
    <row r="38" spans="1:7" ht="16.5" thickBot="1" x14ac:dyDescent="0.3">
      <c r="A38" s="321" t="s">
        <v>127</v>
      </c>
      <c r="B38" s="284">
        <f>IFERROR(VLOOKUP(A38,'CALCUL - ER PP'!$A$37:$B$44,2,FALSE),0)</f>
        <v>0</v>
      </c>
      <c r="C38" s="1542" t="s">
        <v>655</v>
      </c>
    </row>
    <row r="39" spans="1:7" ht="16.5" thickBot="1" x14ac:dyDescent="0.3">
      <c r="A39" s="321" t="s">
        <v>128</v>
      </c>
      <c r="B39" s="284">
        <f>IFERROR(VLOOKUP(A39,'CALCUL - ER PP'!$A$37:$B$44,2,FALSE),0)</f>
        <v>0</v>
      </c>
      <c r="C39" s="1538"/>
    </row>
    <row r="40" spans="1:7" ht="16.5" thickBot="1" x14ac:dyDescent="0.3">
      <c r="A40" s="321" t="s">
        <v>130</v>
      </c>
      <c r="B40" s="284">
        <f>IFERROR(VLOOKUP(A40,'CALCUL - ER PP'!$A$37:$B$44,2,FALSE),0)</f>
        <v>0</v>
      </c>
      <c r="C40" s="1538"/>
    </row>
    <row r="41" spans="1:7" ht="16.5" thickBot="1" x14ac:dyDescent="0.3">
      <c r="A41" s="321" t="s">
        <v>131</v>
      </c>
      <c r="B41" s="284">
        <f>IFERROR(VLOOKUP(A41,'CALCUL - ER PP'!$A$37:$B$44,2,FALSE),0)</f>
        <v>0</v>
      </c>
      <c r="C41" s="1538"/>
    </row>
    <row r="42" spans="1:7" ht="16.5" thickBot="1" x14ac:dyDescent="0.3">
      <c r="A42" s="321" t="s">
        <v>132</v>
      </c>
      <c r="B42" s="284">
        <f>IFERROR(VLOOKUP(A42,'CALCUL - ER PP'!$A$37:$B$44,2,FALSE),0)</f>
        <v>0</v>
      </c>
      <c r="C42" s="1538"/>
    </row>
    <row r="43" spans="1:7" ht="16.5" thickBot="1" x14ac:dyDescent="0.3">
      <c r="A43" s="321" t="s">
        <v>134</v>
      </c>
      <c r="B43" s="284">
        <f>IFERROR(VLOOKUP(A43,'CALCUL - ER PP'!$A$37:$B$44,2,FALSE),0)</f>
        <v>0</v>
      </c>
      <c r="C43" s="1538"/>
    </row>
    <row r="44" spans="1:7" ht="16.5" thickBot="1" x14ac:dyDescent="0.3">
      <c r="A44" s="321" t="s">
        <v>136</v>
      </c>
      <c r="B44" s="284">
        <f>IFERROR(VLOOKUP(A44,'CALCUL - ER PP'!$A$37:$B$44,2,FALSE),0)</f>
        <v>0</v>
      </c>
      <c r="C44" s="1538"/>
    </row>
    <row r="45" spans="1:7" ht="16.5" thickBot="1" x14ac:dyDescent="0.3">
      <c r="A45" s="321" t="s">
        <v>138</v>
      </c>
      <c r="B45" s="284">
        <f>IFERROR(VLOOKUP(A45,'CALCUL - ER PP'!$A$37:$B$44,2,FALSE),0)</f>
        <v>0</v>
      </c>
      <c r="C45" s="1538"/>
    </row>
    <row r="46" spans="1:7" ht="15.75" thickBot="1" x14ac:dyDescent="0.3"/>
    <row r="47" spans="1:7" ht="16.5" thickBot="1" x14ac:dyDescent="0.3">
      <c r="A47" s="88" t="s">
        <v>1273</v>
      </c>
      <c r="B47" s="285">
        <f>SUM(B38:B45)</f>
        <v>0</v>
      </c>
      <c r="C47" s="34" t="s">
        <v>655</v>
      </c>
    </row>
    <row r="48" spans="1:7" ht="15.75" thickBot="1" x14ac:dyDescent="0.3">
      <c r="E48" s="33" t="s">
        <v>1294</v>
      </c>
      <c r="F48" s="33" t="s">
        <v>1295</v>
      </c>
      <c r="G48" s="33" t="s">
        <v>1296</v>
      </c>
    </row>
    <row r="49" spans="1:7" ht="15.75" thickBot="1" x14ac:dyDescent="0.3">
      <c r="A49" s="158" t="s">
        <v>1260</v>
      </c>
      <c r="E49" s="33">
        <v>0</v>
      </c>
      <c r="F49" s="33">
        <v>0.6</v>
      </c>
      <c r="G49" s="33">
        <v>60</v>
      </c>
    </row>
    <row r="50" spans="1:7" ht="15.75" thickBot="1" x14ac:dyDescent="0.3">
      <c r="A50" s="6" t="s">
        <v>1297</v>
      </c>
      <c r="B50" s="6" t="s">
        <v>62</v>
      </c>
      <c r="C50" s="4" t="s">
        <v>642</v>
      </c>
      <c r="E50" s="33">
        <f>F49</f>
        <v>0.6</v>
      </c>
      <c r="F50" s="33">
        <f>1.4</f>
        <v>1.4</v>
      </c>
      <c r="G50" s="33">
        <v>60</v>
      </c>
    </row>
    <row r="51" spans="1:7" ht="15.75" thickBot="1" x14ac:dyDescent="0.3">
      <c r="A51" s="85" t="s">
        <v>1298</v>
      </c>
      <c r="B51" s="285">
        <f>IFERROR(B47/B25,999999)</f>
        <v>999999</v>
      </c>
      <c r="C51" s="57" t="s">
        <v>663</v>
      </c>
      <c r="E51" s="33">
        <f>F50</f>
        <v>1.4</v>
      </c>
      <c r="F51" s="33">
        <v>1.8</v>
      </c>
      <c r="G51" s="33">
        <v>30</v>
      </c>
    </row>
    <row r="52" spans="1:7" ht="15.75" thickBot="1" x14ac:dyDescent="0.3">
      <c r="A52" s="86" t="s">
        <v>1299</v>
      </c>
      <c r="B52" s="285">
        <f>VLOOKUP(B51,$E$49:$G$52,3,1)</f>
        <v>0</v>
      </c>
      <c r="C52" s="8" t="s">
        <v>1115</v>
      </c>
      <c r="E52" s="33">
        <f>F51</f>
        <v>1.8</v>
      </c>
      <c r="F52" s="33">
        <v>9999999</v>
      </c>
      <c r="G52" s="33">
        <v>0</v>
      </c>
    </row>
    <row r="53" spans="1:7" ht="15.75" thickBot="1" x14ac:dyDescent="0.3">
      <c r="A53" s="87" t="s">
        <v>1300</v>
      </c>
      <c r="B53" s="270">
        <f>IF(B51&lt;0.6,SUM(B6+B8+B19+B20)/0.6*B51,SUM(B6+B8+B19+B20))</f>
        <v>0</v>
      </c>
      <c r="C53" s="58" t="s">
        <v>1033</v>
      </c>
    </row>
    <row r="54" spans="1:7" ht="15.75" thickBot="1" x14ac:dyDescent="0.3">
      <c r="F54" s="33" t="s">
        <v>1301</v>
      </c>
      <c r="G54" s="33">
        <f>+B51</f>
        <v>999999</v>
      </c>
    </row>
    <row r="55" spans="1:7" ht="15.75" thickBot="1" x14ac:dyDescent="0.3">
      <c r="A55" s="14" t="s">
        <v>1302</v>
      </c>
      <c r="B55" s="286">
        <f>IF(B53*B52&lt;100,0,B53*B52)</f>
        <v>0</v>
      </c>
      <c r="C55" s="8"/>
      <c r="F55" s="33" t="s">
        <v>1303</v>
      </c>
      <c r="G55" s="33">
        <f>VLOOKUP(G54,$E$49:$G$52,3,1)</f>
        <v>0</v>
      </c>
    </row>
  </sheetData>
  <sheetProtection sheet="1" objects="1" scenarios="1"/>
  <mergeCells count="3">
    <mergeCell ref="C6:C20"/>
    <mergeCell ref="C28:C35"/>
    <mergeCell ref="C38:C45"/>
  </mergeCells>
  <dataValidations count="1">
    <dataValidation type="list" allowBlank="1" showInputMessage="1" showErrorMessage="1" sqref="B3" xr:uid="{5266D118-5EBE-4A0B-A877-7F545575FA4A}"/>
  </dataValidations>
  <pageMargins left="0.7" right="0.7" top="0.75" bottom="0.75" header="0.3" footer="0.3"/>
  <pageSetup paperSize="9" orientation="portrait" r:id="rId1"/>
  <legacyDrawing r:id="rId2"/>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B3E0E64-3BEF-4D57-89E1-175E525C3EAB}">
  <sheetPr codeName="Feuil11"/>
  <dimension ref="A1:H34"/>
  <sheetViews>
    <sheetView workbookViewId="0">
      <selection activeCell="A6" sqref="A6"/>
    </sheetView>
  </sheetViews>
  <sheetFormatPr baseColWidth="10" defaultColWidth="11.42578125" defaultRowHeight="15" x14ac:dyDescent="0.25"/>
  <cols>
    <col min="1" max="1" width="82.140625" bestFit="1" customWidth="1"/>
    <col min="2" max="2" width="89.28515625" customWidth="1"/>
    <col min="3" max="3" width="27.7109375" customWidth="1"/>
    <col min="6" max="6" width="8.7109375" customWidth="1"/>
    <col min="7" max="7" width="27.28515625" customWidth="1"/>
    <col min="8" max="8" width="91.5703125" customWidth="1"/>
    <col min="12" max="12" width="70.42578125" bestFit="1" customWidth="1"/>
  </cols>
  <sheetData>
    <row r="1" spans="1:8" x14ac:dyDescent="0.25">
      <c r="A1" s="1543" t="s">
        <v>1227</v>
      </c>
      <c r="B1" s="1544"/>
      <c r="C1" s="1544"/>
    </row>
    <row r="2" spans="1:8" x14ac:dyDescent="0.25">
      <c r="A2" t="s">
        <v>1304</v>
      </c>
      <c r="B2" t="str">
        <f>'2. VOS DONNEES'!E162</f>
        <v>NON</v>
      </c>
      <c r="C2" s="312"/>
    </row>
    <row r="3" spans="1:8" x14ac:dyDescent="0.25">
      <c r="A3" t="s">
        <v>1305</v>
      </c>
      <c r="B3" t="str">
        <f>'CALCUL - ER CFE'!B3</f>
        <v>NON</v>
      </c>
    </row>
    <row r="5" spans="1:8" ht="15.75" thickBot="1" x14ac:dyDescent="0.3"/>
    <row r="6" spans="1:8" ht="15.75" thickBot="1" x14ac:dyDescent="0.3">
      <c r="A6" s="288" t="s">
        <v>93</v>
      </c>
      <c r="B6" s="287">
        <f>IF($B$3="Oui",0,IF(B2="Oui",IFERROR(VLOOKUP(A6,'2. VOS DONNEES'!$D$4:$E$283,2,FALSE),0),0))</f>
        <v>0</v>
      </c>
      <c r="C6" s="516"/>
    </row>
    <row r="7" spans="1:8" ht="15.75" thickBot="1" x14ac:dyDescent="0.3">
      <c r="A7" s="288" t="s">
        <v>686</v>
      </c>
      <c r="B7" s="287">
        <f>IF($B$3="Oui",0,IF(B3="Oui",IFERROR(VLOOKUP(A7,'2. VOS DONNEES'!$D$4:$E$283,2,FALSE),0),0))</f>
        <v>0</v>
      </c>
      <c r="C7" s="516"/>
    </row>
    <row r="8" spans="1:8" ht="15.75" thickBot="1" x14ac:dyDescent="0.3">
      <c r="A8" s="288" t="s">
        <v>690</v>
      </c>
      <c r="B8" s="287">
        <f>IF($B$3="Oui",0,IF(B4="Oui",IFERROR(VLOOKUP(A8,'2. VOS DONNEES'!$D$4:$E$283,2,FALSE),0),0))</f>
        <v>0</v>
      </c>
      <c r="C8" s="516"/>
    </row>
    <row r="9" spans="1:8" ht="15.75" thickBot="1" x14ac:dyDescent="0.3">
      <c r="A9" s="288" t="s">
        <v>103</v>
      </c>
      <c r="B9" s="287">
        <f>IF($B$3="Oui",0,IF(B5="Oui",IFERROR(VLOOKUP(A9,'2. VOS DONNEES'!$D$4:$E$283,2,FALSE),0),0))</f>
        <v>0</v>
      </c>
      <c r="C9" s="516"/>
    </row>
    <row r="10" spans="1:8" x14ac:dyDescent="0.25">
      <c r="A10" s="295" t="s">
        <v>98</v>
      </c>
      <c r="B10" s="313">
        <f>IF($B$2="non",0,IFERROR(VLOOKUP(A10,'2. VOS DONNEES'!$D$4:$E$283,2,FALSE),0))</f>
        <v>0</v>
      </c>
      <c r="C10" s="33"/>
      <c r="G10" s="289" t="s">
        <v>98</v>
      </c>
      <c r="H10" s="290">
        <f>IFERROR(VLOOKUP(G10,'2. VOS DONNEES'!$D$4:$E$283,2,FALSE),0)</f>
        <v>0</v>
      </c>
    </row>
    <row r="11" spans="1:8" x14ac:dyDescent="0.25">
      <c r="A11" s="296" t="s">
        <v>681</v>
      </c>
      <c r="B11" s="313">
        <f>IF($B$2="non",0,IFERROR(VLOOKUP(A11,'2. VOS DONNEES'!$D$4:$E$283,2,FALSE),0))</f>
        <v>0</v>
      </c>
      <c r="C11" s="33"/>
      <c r="G11" s="291" t="s">
        <v>681</v>
      </c>
      <c r="H11" s="292">
        <f>IFERROR(VLOOKUP(G11,'2. VOS DONNEES'!$D$4:$E$283,2,FALSE),0)</f>
        <v>0</v>
      </c>
    </row>
    <row r="12" spans="1:8" x14ac:dyDescent="0.25">
      <c r="A12" s="296" t="s">
        <v>682</v>
      </c>
      <c r="B12" s="313">
        <f>IF($B$2="non",0,IFERROR(VLOOKUP(A12,'2. VOS DONNEES'!$D$4:$E$283,2,FALSE),0))</f>
        <v>0</v>
      </c>
      <c r="C12" s="33"/>
      <c r="G12" s="291" t="s">
        <v>682</v>
      </c>
      <c r="H12" s="292">
        <f>IFERROR(VLOOKUP(G12,'2. VOS DONNEES'!$D$4:$E$283,2,FALSE),0)</f>
        <v>0</v>
      </c>
    </row>
    <row r="13" spans="1:8" x14ac:dyDescent="0.25">
      <c r="A13" s="296" t="s">
        <v>90</v>
      </c>
      <c r="B13" s="313">
        <f>IF($B$2="non",0,IFERROR(VLOOKUP(A13,'2. VOS DONNEES'!$D$4:$E$283,2,FALSE),0))</f>
        <v>0</v>
      </c>
      <c r="C13" s="33"/>
      <c r="G13" s="291" t="s">
        <v>103</v>
      </c>
      <c r="H13" s="292">
        <f>IFERROR(VLOOKUP(G13,'2. VOS DONNEES'!$D$4:$E$283,2,FALSE),0)</f>
        <v>0</v>
      </c>
    </row>
    <row r="14" spans="1:8" ht="15.75" thickBot="1" x14ac:dyDescent="0.3">
      <c r="A14" s="297" t="s">
        <v>683</v>
      </c>
      <c r="B14" s="313">
        <f>IF($B$2="non",0,IFERROR(VLOOKUP(A14,'2. VOS DONNEES'!$D$4:$E$283,2,FALSE),0))</f>
        <v>0</v>
      </c>
      <c r="C14" s="33"/>
      <c r="G14" s="291"/>
      <c r="H14" s="292"/>
    </row>
    <row r="15" spans="1:8" x14ac:dyDescent="0.25">
      <c r="G15" s="291" t="s">
        <v>683</v>
      </c>
      <c r="H15" s="292">
        <f>IFERROR(VLOOKUP(G15,'2. VOS DONNEES'!$D$4:$E$283,2,FALSE),0)</f>
        <v>0</v>
      </c>
    </row>
    <row r="16" spans="1:8" ht="15.75" thickBot="1" x14ac:dyDescent="0.3">
      <c r="G16" s="291" t="s">
        <v>90</v>
      </c>
      <c r="H16" s="292">
        <f>IFERROR(VLOOKUP(G16,'2. VOS DONNEES'!$D$4:$E$283,2,FALSE),0)</f>
        <v>0</v>
      </c>
    </row>
    <row r="17" spans="1:8" x14ac:dyDescent="0.25">
      <c r="A17" s="298" t="s">
        <v>1260</v>
      </c>
      <c r="B17" s="57"/>
      <c r="C17" s="299"/>
      <c r="G17" s="65" t="s">
        <v>93</v>
      </c>
      <c r="H17" s="292">
        <f>IFERROR(VLOOKUP(G17,'2. VOS DONNEES'!$D$4:$E$283,2,FALSE),0)</f>
        <v>0</v>
      </c>
    </row>
    <row r="18" spans="1:8" x14ac:dyDescent="0.25">
      <c r="A18" s="65" t="s">
        <v>1306</v>
      </c>
      <c r="B18" s="300">
        <f>SUM(B6:B14)</f>
        <v>0</v>
      </c>
      <c r="C18" s="301"/>
      <c r="G18" s="65" t="s">
        <v>686</v>
      </c>
      <c r="H18" s="292">
        <f>IFERROR(VLOOKUP(G18,'2. VOS DONNEES'!$D$4:$E$283,2,FALSE),0)</f>
        <v>0</v>
      </c>
    </row>
    <row r="19" spans="1:8" x14ac:dyDescent="0.25">
      <c r="A19" s="65" t="s">
        <v>1307</v>
      </c>
      <c r="B19" s="300">
        <f>IF(B2="oui",'2. VOS DONNEES'!E166,0)</f>
        <v>0</v>
      </c>
      <c r="C19" s="301"/>
      <c r="G19" s="473"/>
      <c r="H19" s="621"/>
    </row>
    <row r="20" spans="1:8" ht="15.75" thickBot="1" x14ac:dyDescent="0.3">
      <c r="A20" s="291" t="s">
        <v>1308</v>
      </c>
      <c r="B20" s="302" t="str">
        <f>IF(B19&gt;10,"OUI","PAS PLAFOND CEREALES S/PIED")</f>
        <v>PAS PLAFOND CEREALES S/PIED</v>
      </c>
      <c r="C20" s="301"/>
      <c r="G20" s="293" t="s">
        <v>690</v>
      </c>
      <c r="H20" s="294">
        <f>IFERROR(VLOOKUP(G20,'2. VOS DONNEES'!$D$4:$E$283,2,FALSE),0)</f>
        <v>0</v>
      </c>
    </row>
    <row r="21" spans="1:8" x14ac:dyDescent="0.25">
      <c r="A21" s="291" t="s">
        <v>1309</v>
      </c>
      <c r="B21" s="33">
        <f>IF(B19&gt;10,10,B19)</f>
        <v>0</v>
      </c>
      <c r="C21" s="301"/>
    </row>
    <row r="22" spans="1:8" x14ac:dyDescent="0.25">
      <c r="A22" s="65" t="s">
        <v>1310</v>
      </c>
      <c r="B22" s="303">
        <v>2400</v>
      </c>
      <c r="C22" s="301"/>
    </row>
    <row r="23" spans="1:8" x14ac:dyDescent="0.25">
      <c r="A23" s="65" t="s">
        <v>1311</v>
      </c>
      <c r="B23" s="303">
        <f>IF(B2="Oui",IF(B19&gt;10,B22*B21,B22*B19),0)</f>
        <v>0</v>
      </c>
      <c r="C23" s="301"/>
    </row>
    <row r="24" spans="1:8" x14ac:dyDescent="0.25">
      <c r="A24" s="304" t="s">
        <v>1312</v>
      </c>
      <c r="B24" s="305"/>
      <c r="C24" s="306" t="s">
        <v>1313</v>
      </c>
    </row>
    <row r="25" spans="1:8" x14ac:dyDescent="0.25">
      <c r="A25" s="65" t="s">
        <v>1314</v>
      </c>
      <c r="B25" s="307">
        <f>IF(C25="Oui",'2. VOS DONNEES'!E151,0)</f>
        <v>0</v>
      </c>
      <c r="C25" s="301" t="str">
        <f>'2. VOS DONNEES'!E148</f>
        <v>NON</v>
      </c>
    </row>
    <row r="26" spans="1:8" x14ac:dyDescent="0.25">
      <c r="A26" s="65" t="s">
        <v>1315</v>
      </c>
      <c r="B26" s="307">
        <f>IF(C26="Oui",'CALCUL - MAEC CereP'!B21,0)</f>
        <v>0</v>
      </c>
      <c r="C26" s="301" t="str">
        <f>'2. VOS DONNEES'!E162</f>
        <v>NON</v>
      </c>
    </row>
    <row r="27" spans="1:8" x14ac:dyDescent="0.25">
      <c r="A27" s="65" t="s">
        <v>1316</v>
      </c>
      <c r="B27" s="307">
        <f>IF(C27="Oui",'2. VOS DONNEES'!E158,0)</f>
        <v>0</v>
      </c>
      <c r="C27" s="301" t="str">
        <f>'2. VOS DONNEES'!E155</f>
        <v>NON</v>
      </c>
    </row>
    <row r="28" spans="1:8" x14ac:dyDescent="0.25">
      <c r="A28" s="65" t="s">
        <v>1317</v>
      </c>
      <c r="B28" s="307">
        <f>B27+B26+B25</f>
        <v>0</v>
      </c>
      <c r="C28" s="301"/>
    </row>
    <row r="29" spans="1:8" x14ac:dyDescent="0.25">
      <c r="A29" s="65" t="s">
        <v>1318</v>
      </c>
      <c r="B29" s="307">
        <f>'2. VOS DONNEES'!E8</f>
        <v>0</v>
      </c>
      <c r="C29" s="301"/>
    </row>
    <row r="30" spans="1:8" x14ac:dyDescent="0.25">
      <c r="A30" s="65" t="s">
        <v>1319</v>
      </c>
      <c r="B30" s="33" t="str">
        <f>IFERROR(IF(B28/B29&gt;0.25,"OUI, PLAFOND","NON, PAS DE PLAFOND"),"-")</f>
        <v>-</v>
      </c>
      <c r="C30" s="301"/>
    </row>
    <row r="31" spans="1:8" x14ac:dyDescent="0.25">
      <c r="A31" s="65" t="s">
        <v>1320</v>
      </c>
      <c r="B31" s="307">
        <f>B28-(B29*0.25)</f>
        <v>0</v>
      </c>
      <c r="C31" s="301"/>
    </row>
    <row r="32" spans="1:8" x14ac:dyDescent="0.25">
      <c r="A32" s="65" t="s">
        <v>1321</v>
      </c>
      <c r="B32" s="308" t="e">
        <f>B31/B28</f>
        <v>#DIV/0!</v>
      </c>
      <c r="C32" s="301"/>
    </row>
    <row r="33" spans="1:3" x14ac:dyDescent="0.25">
      <c r="A33" s="65" t="s">
        <v>1322</v>
      </c>
      <c r="B33" s="307">
        <f>IF(B30="OUI, PLAFOND",(1-B32)*B21,B21)</f>
        <v>0</v>
      </c>
      <c r="C33" s="301"/>
    </row>
    <row r="34" spans="1:3" ht="15.75" thickBot="1" x14ac:dyDescent="0.3">
      <c r="A34" s="309" t="s">
        <v>1323</v>
      </c>
      <c r="B34" s="310">
        <f>B33*B22</f>
        <v>0</v>
      </c>
      <c r="C34" s="311"/>
    </row>
  </sheetData>
  <sheetProtection sheet="1" objects="1" scenarios="1"/>
  <mergeCells count="1">
    <mergeCell ref="A1:C1"/>
  </mergeCells>
  <pageMargins left="0.7" right="0.7" top="0.75" bottom="0.75" header="0.3" footer="0.3"/>
  <pageSetup paperSize="9" orientation="portrait" r:id="rId1"/>
  <legacyDrawing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6AB9517-EACA-4B28-BA7C-8EB15A9C437A}">
  <sheetPr codeName="Feuil16"/>
  <dimension ref="A1:C21"/>
  <sheetViews>
    <sheetView workbookViewId="0">
      <selection activeCell="B5" sqref="B5"/>
    </sheetView>
  </sheetViews>
  <sheetFormatPr baseColWidth="10" defaultColWidth="11.42578125" defaultRowHeight="15" x14ac:dyDescent="0.25"/>
  <cols>
    <col min="1" max="1" width="60.140625" bestFit="1" customWidth="1"/>
    <col min="2" max="2" width="15.28515625" customWidth="1"/>
  </cols>
  <sheetData>
    <row r="1" spans="1:3" ht="15.75" thickBot="1" x14ac:dyDescent="0.3"/>
    <row r="2" spans="1:3" ht="15.75" thickBot="1" x14ac:dyDescent="0.3">
      <c r="A2" s="152" t="s">
        <v>1227</v>
      </c>
    </row>
    <row r="3" spans="1:3" x14ac:dyDescent="0.25">
      <c r="C3" s="240" t="s">
        <v>1313</v>
      </c>
    </row>
    <row r="4" spans="1:3" x14ac:dyDescent="0.25">
      <c r="A4" s="33" t="s">
        <v>1314</v>
      </c>
      <c r="B4" s="209">
        <f>IF(C4="Oui",'2. VOS DONNEES'!E151,0)</f>
        <v>0</v>
      </c>
      <c r="C4" t="str">
        <f>'2. VOS DONNEES'!E148</f>
        <v>NON</v>
      </c>
    </row>
    <row r="5" spans="1:3" x14ac:dyDescent="0.25">
      <c r="A5" s="33" t="s">
        <v>1324</v>
      </c>
      <c r="B5" s="209">
        <f>IF(C5="Oui",'CALCUL - MAEC CereP'!B21,0)</f>
        <v>0</v>
      </c>
      <c r="C5" t="str">
        <f>'2. VOS DONNEES'!E162</f>
        <v>NON</v>
      </c>
    </row>
    <row r="6" spans="1:3" x14ac:dyDescent="0.25">
      <c r="A6" s="33" t="s">
        <v>1316</v>
      </c>
      <c r="B6" s="209">
        <f>IF(C6="Oui",'2. VOS DONNEES'!E158,0)</f>
        <v>0</v>
      </c>
      <c r="C6" t="str">
        <f>'2. VOS DONNEES'!E155</f>
        <v>NON</v>
      </c>
    </row>
    <row r="8" spans="1:3" x14ac:dyDescent="0.25">
      <c r="A8" s="33" t="s">
        <v>1317</v>
      </c>
      <c r="B8" s="308">
        <f>B4+B5+B6</f>
        <v>0</v>
      </c>
    </row>
    <row r="9" spans="1:3" x14ac:dyDescent="0.25">
      <c r="A9" s="33" t="s">
        <v>1318</v>
      </c>
      <c r="B9" s="209">
        <f>'2. VOS DONNEES'!E8</f>
        <v>0</v>
      </c>
    </row>
    <row r="11" spans="1:3" x14ac:dyDescent="0.25">
      <c r="A11" t="s">
        <v>1319</v>
      </c>
      <c r="B11" t="str">
        <f>IFERROR(IF(B8/B9&gt;0.25,"OUI, PLAFOND","NON, PAS DE PLAFOND"),"-")</f>
        <v>-</v>
      </c>
    </row>
    <row r="12" spans="1:3" x14ac:dyDescent="0.25">
      <c r="A12" t="s">
        <v>1325</v>
      </c>
      <c r="B12" s="209">
        <f>B8-(B9*0.25)</f>
        <v>0</v>
      </c>
    </row>
    <row r="13" spans="1:3" x14ac:dyDescent="0.25">
      <c r="A13" t="s">
        <v>1321</v>
      </c>
      <c r="B13" s="84" t="str">
        <f>IFERROR(B12/B8,"-")</f>
        <v>-</v>
      </c>
    </row>
    <row r="14" spans="1:3" ht="15.75" thickBot="1" x14ac:dyDescent="0.3"/>
    <row r="15" spans="1:3" ht="15.75" thickBot="1" x14ac:dyDescent="0.3">
      <c r="A15" s="158" t="s">
        <v>1260</v>
      </c>
    </row>
    <row r="16" spans="1:3" ht="15.75" thickBot="1" x14ac:dyDescent="0.3">
      <c r="A16" t="s">
        <v>484</v>
      </c>
      <c r="B16" s="59">
        <v>1100</v>
      </c>
    </row>
    <row r="17" spans="1:3" x14ac:dyDescent="0.25">
      <c r="A17" t="s">
        <v>1326</v>
      </c>
      <c r="B17" s="239">
        <f>B4*B16</f>
        <v>0</v>
      </c>
    </row>
    <row r="18" spans="1:3" ht="15.75" thickBot="1" x14ac:dyDescent="0.3">
      <c r="A18" t="s">
        <v>1322</v>
      </c>
      <c r="B18" s="209">
        <f>IFERROR(IF(B11="OUI, PLAFOND",(1-B13)*B4,B4),"-")</f>
        <v>0</v>
      </c>
      <c r="C18" s="239"/>
    </row>
    <row r="19" spans="1:3" ht="15.75" thickBot="1" x14ac:dyDescent="0.3">
      <c r="A19" s="240" t="s">
        <v>1323</v>
      </c>
      <c r="B19" s="241">
        <f>IFERROR(B18*B16,"-")</f>
        <v>0</v>
      </c>
      <c r="C19" s="239"/>
    </row>
    <row r="21" spans="1:3" x14ac:dyDescent="0.25">
      <c r="C21" s="239"/>
    </row>
  </sheetData>
  <sheetProtection sheet="1" objects="1" scenarios="1"/>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A822799-7663-4597-9193-138189082B95}">
  <sheetPr codeName="Feuil2">
    <tabColor rgb="FFFF0000"/>
  </sheetPr>
  <dimension ref="A1:T325"/>
  <sheetViews>
    <sheetView showGridLines="0" tabSelected="1" topLeftCell="D231" zoomScaleNormal="100" workbookViewId="0">
      <selection activeCell="E238" sqref="E238"/>
    </sheetView>
  </sheetViews>
  <sheetFormatPr baseColWidth="10" defaultColWidth="11.42578125" defaultRowHeight="14.25" customHeight="1" x14ac:dyDescent="0.25"/>
  <cols>
    <col min="1" max="1" width="3.7109375" style="205" customWidth="1"/>
    <col min="2" max="2" width="7.140625" style="205" customWidth="1"/>
    <col min="3" max="3" width="13.7109375" style="31" customWidth="1"/>
    <col min="4" max="4" width="101.5703125" style="31" customWidth="1"/>
    <col min="5" max="5" width="15.140625" style="31" customWidth="1"/>
    <col min="6" max="6" width="11.85546875" style="31" customWidth="1"/>
    <col min="7" max="7" width="9.42578125" style="31" customWidth="1"/>
    <col min="8" max="8" width="3.85546875" style="202" customWidth="1"/>
    <col min="9" max="9" width="53.5703125" style="31" customWidth="1"/>
    <col min="10" max="10" width="63" style="31" customWidth="1"/>
    <col min="11" max="11" width="25.85546875" style="31" customWidth="1"/>
    <col min="12" max="12" width="39" style="31" customWidth="1"/>
    <col min="13" max="13" width="5" style="31" customWidth="1"/>
    <col min="14" max="14" width="31.42578125" style="31" bestFit="1" customWidth="1"/>
    <col min="15" max="15" width="7.5703125" style="31" customWidth="1"/>
    <col min="16" max="16" width="14.42578125" style="31" bestFit="1" customWidth="1"/>
    <col min="17" max="16384" width="11.42578125" style="31"/>
  </cols>
  <sheetData>
    <row r="1" spans="3:17" ht="22.5" customHeight="1" x14ac:dyDescent="0.25">
      <c r="D1" s="1485" t="s">
        <v>21</v>
      </c>
      <c r="E1" s="1485"/>
      <c r="F1" s="1485"/>
      <c r="I1" s="1029" t="s">
        <v>22</v>
      </c>
      <c r="J1" s="1264">
        <v>45041</v>
      </c>
    </row>
    <row r="2" spans="3:17" ht="9" customHeight="1" x14ac:dyDescent="0.3">
      <c r="C2" s="927"/>
      <c r="E2" s="874"/>
      <c r="F2" s="928"/>
      <c r="G2" s="548"/>
      <c r="J2" s="238"/>
    </row>
    <row r="3" spans="3:17" ht="15.75" thickBot="1" x14ac:dyDescent="0.3"/>
    <row r="4" spans="3:17" ht="45" customHeight="1" thickBot="1" x14ac:dyDescent="0.3">
      <c r="C4" s="652"/>
      <c r="D4" s="866" t="s">
        <v>23</v>
      </c>
      <c r="E4" s="653"/>
      <c r="F4" s="654"/>
      <c r="G4" s="571"/>
      <c r="H4" s="203"/>
      <c r="I4" s="574"/>
      <c r="J4" s="868" t="s">
        <v>24</v>
      </c>
      <c r="K4" s="575"/>
      <c r="L4" s="575"/>
      <c r="M4" s="576"/>
      <c r="N4" s="43"/>
      <c r="O4" s="43"/>
      <c r="P4" s="43"/>
      <c r="Q4" s="43"/>
    </row>
    <row r="5" spans="3:17" ht="18" customHeight="1" x14ac:dyDescent="0.25">
      <c r="C5" s="442" t="s">
        <v>25</v>
      </c>
      <c r="D5" s="443"/>
      <c r="E5" s="443"/>
      <c r="F5" s="861"/>
      <c r="G5" s="571"/>
      <c r="H5" s="203"/>
      <c r="I5" s="381"/>
      <c r="J5" s="381"/>
      <c r="K5" s="381"/>
      <c r="L5" s="381"/>
      <c r="M5" s="381"/>
      <c r="N5" s="43"/>
      <c r="O5" s="43"/>
      <c r="P5" s="43"/>
      <c r="Q5" s="43"/>
    </row>
    <row r="6" spans="3:17" ht="30" customHeight="1" x14ac:dyDescent="0.25">
      <c r="C6" s="763"/>
      <c r="D6" s="867" t="s">
        <v>26</v>
      </c>
      <c r="E6" s="1450">
        <v>0</v>
      </c>
      <c r="F6" s="1451"/>
      <c r="G6" s="572"/>
      <c r="I6" s="1473" t="str">
        <f>IF((E10+E14+E9+E7)&gt;E6,"Attention, la somme des superficies (E16) que vous avez encodée est supérieure à la superficie totale que vous avez encodée (E17+E18+E19+E24)","La somme des superficies (E16) que vous avez encodée est égale ou inférieure à la superficie totale que vous avez encodée(E17+E18+E19+E24)")</f>
        <v>La somme des superficies (E16) que vous avez encodée est égale ou inférieure à la superficie totale que vous avez encodée(E17+E18+E19+E24)</v>
      </c>
      <c r="J6" s="1474"/>
      <c r="K6" s="1474"/>
      <c r="L6" s="1474"/>
      <c r="M6" s="1475"/>
      <c r="N6" s="43"/>
      <c r="O6" s="43"/>
      <c r="P6" s="43"/>
      <c r="Q6" s="43"/>
    </row>
    <row r="7" spans="3:17" ht="30.6" customHeight="1" x14ac:dyDescent="0.25">
      <c r="C7" s="347"/>
      <c r="D7" s="867" t="s">
        <v>27</v>
      </c>
      <c r="E7" s="1452">
        <v>0</v>
      </c>
      <c r="F7" s="1453"/>
      <c r="G7" s="572"/>
      <c r="I7" s="1354" t="s">
        <v>28</v>
      </c>
      <c r="J7" s="1476"/>
      <c r="K7" s="1476"/>
      <c r="L7" s="1476"/>
      <c r="M7" s="1477"/>
      <c r="N7" s="43"/>
      <c r="O7" s="43"/>
      <c r="P7" s="43"/>
      <c r="Q7" s="43"/>
    </row>
    <row r="8" spans="3:17" ht="15" x14ac:dyDescent="0.25">
      <c r="C8" s="347"/>
      <c r="D8" s="411" t="s">
        <v>29</v>
      </c>
      <c r="E8" s="1511">
        <f>E6-E7-E9</f>
        <v>0</v>
      </c>
      <c r="F8" s="1387"/>
      <c r="G8" s="573"/>
      <c r="H8" s="204"/>
      <c r="N8" s="43"/>
      <c r="P8" s="43"/>
      <c r="Q8" s="43"/>
    </row>
    <row r="9" spans="3:17" ht="12.75" customHeight="1" x14ac:dyDescent="0.25">
      <c r="C9" s="347"/>
      <c r="D9" s="411" t="s">
        <v>30</v>
      </c>
      <c r="E9" s="1446">
        <v>0</v>
      </c>
      <c r="F9" s="1447"/>
      <c r="G9" s="573"/>
      <c r="H9" s="204"/>
      <c r="N9" s="43"/>
      <c r="P9" s="43"/>
      <c r="Q9" s="43"/>
    </row>
    <row r="10" spans="3:17" ht="36.75" customHeight="1" x14ac:dyDescent="0.3">
      <c r="C10" s="348"/>
      <c r="D10" s="651" t="s">
        <v>31</v>
      </c>
      <c r="E10" s="1454">
        <f>SUM(E44:E99)</f>
        <v>0</v>
      </c>
      <c r="F10" s="1455"/>
      <c r="G10" s="650"/>
      <c r="H10" s="204"/>
      <c r="I10" s="1401" t="str">
        <f>IF(E10&gt;E8,"Attention, la somme des différentes surfaces cultivées que vous avez encodées dans la partie 2 est supérieure à la valeur encodée ci-dessus E19","La somme des différentes surfaces cultivées que vous avez encodées dans la partie 2 est bien égale ou inférieure à la valeur encodée ci-dessus")</f>
        <v>La somme des différentes surfaces cultivées que vous avez encodées dans la partie 2 est bien égale ou inférieure à la valeur encodée ci-dessus</v>
      </c>
      <c r="J10" s="1402"/>
      <c r="K10" s="1402"/>
      <c r="L10" s="1402"/>
      <c r="M10" s="1403"/>
      <c r="N10" s="43"/>
      <c r="O10" s="43"/>
      <c r="P10" s="43"/>
      <c r="Q10" s="43"/>
    </row>
    <row r="11" spans="3:17" ht="18" thickBot="1" x14ac:dyDescent="0.35">
      <c r="C11" s="349"/>
      <c r="D11" s="862" t="s">
        <v>32</v>
      </c>
      <c r="E11" s="865">
        <f>COUNTIF(B44:B76,1)+COUNTIF(B44:B76,2)</f>
        <v>0</v>
      </c>
      <c r="F11" s="863"/>
      <c r="G11" s="864"/>
      <c r="H11" s="204"/>
      <c r="I11" s="1501" t="str">
        <f>IF(COUNTIF(B44:B79,1)&gt;0,IF(COUNTIF(B44:B79,2)&gt;0,"Attention, il y a des erreurs d'encodage dans la partie 2","Attention, il y a au moins une valeur encodée sans libellé associé dans la partie 2"),IF(COUNTIF(B44:B79,2)&gt;0,"Rappellez-vous d'encoder vos surfaces dans la partie 2",IF(COUNTIF(B44:B79,2)=0,"Il n'y a pas d'erreur d'encodage dans la partie 2")))</f>
        <v>Rappellez-vous d'encoder vos surfaces dans la partie 2</v>
      </c>
      <c r="J11" s="1502"/>
      <c r="K11" s="1502"/>
      <c r="L11" s="1502"/>
      <c r="M11" s="1503"/>
      <c r="N11" s="43"/>
      <c r="O11" s="43"/>
      <c r="P11" s="43"/>
      <c r="Q11" s="43"/>
    </row>
    <row r="12" spans="3:17" ht="18" thickBot="1" x14ac:dyDescent="0.35">
      <c r="C12" s="920"/>
      <c r="D12" s="921"/>
      <c r="G12" s="922"/>
      <c r="H12" s="204"/>
      <c r="I12" s="919"/>
      <c r="J12" s="919"/>
      <c r="K12" s="919"/>
      <c r="L12" s="919"/>
      <c r="M12" s="919"/>
      <c r="N12" s="43"/>
      <c r="O12" s="43"/>
      <c r="P12" s="43"/>
      <c r="Q12" s="43"/>
    </row>
    <row r="13" spans="3:17" ht="15" x14ac:dyDescent="0.25">
      <c r="C13" s="442" t="s">
        <v>33</v>
      </c>
      <c r="D13" s="443"/>
      <c r="E13" s="443"/>
      <c r="F13" s="861"/>
      <c r="G13" s="923"/>
      <c r="H13" s="204"/>
      <c r="I13" s="919"/>
      <c r="J13" s="919"/>
      <c r="K13" s="919"/>
      <c r="M13" s="919"/>
      <c r="N13" s="43"/>
      <c r="O13" s="43"/>
      <c r="P13" s="43"/>
      <c r="Q13" s="43"/>
    </row>
    <row r="14" spans="3:17" ht="30.75" customHeight="1" thickBot="1" x14ac:dyDescent="0.3">
      <c r="C14" s="925"/>
      <c r="D14" s="926" t="s">
        <v>34</v>
      </c>
      <c r="E14" s="1448">
        <v>0</v>
      </c>
      <c r="F14" s="1449"/>
      <c r="G14" s="924"/>
      <c r="H14" s="204"/>
      <c r="I14" s="1407" t="s">
        <v>35</v>
      </c>
      <c r="J14" s="1408"/>
      <c r="K14" s="1408"/>
      <c r="L14" s="1408"/>
      <c r="M14" s="1409"/>
      <c r="N14" s="43"/>
      <c r="O14" s="43"/>
      <c r="P14" s="43"/>
      <c r="Q14" s="43"/>
    </row>
    <row r="17" spans="1:17" ht="14.25" customHeight="1" thickBot="1" x14ac:dyDescent="0.3"/>
    <row r="18" spans="1:17" ht="15" x14ac:dyDescent="0.25">
      <c r="C18" s="123" t="s">
        <v>36</v>
      </c>
      <c r="D18" s="566"/>
      <c r="E18" s="566"/>
      <c r="F18" s="566"/>
      <c r="G18" s="125"/>
      <c r="H18" s="204"/>
      <c r="J18" s="315"/>
      <c r="K18" s="315"/>
      <c r="L18" s="315"/>
      <c r="M18" s="315"/>
      <c r="N18" s="43"/>
      <c r="O18" s="43"/>
      <c r="P18" s="43"/>
      <c r="Q18" s="43"/>
    </row>
    <row r="19" spans="1:17" ht="32.450000000000003" customHeight="1" x14ac:dyDescent="0.25">
      <c r="C19" s="347"/>
      <c r="D19" s="565" t="s">
        <v>37</v>
      </c>
      <c r="E19" s="1461" t="s">
        <v>38</v>
      </c>
      <c r="F19" s="1462"/>
      <c r="G19" s="567"/>
      <c r="H19" s="204"/>
      <c r="I19" s="1407" t="s">
        <v>39</v>
      </c>
      <c r="J19" s="1408"/>
      <c r="K19" s="1408"/>
      <c r="L19" s="1408"/>
      <c r="M19" s="1409"/>
      <c r="N19" s="43"/>
      <c r="O19" s="43"/>
      <c r="P19" s="43"/>
      <c r="Q19" s="43"/>
    </row>
    <row r="20" spans="1:17" ht="15" x14ac:dyDescent="0.25">
      <c r="C20" s="347"/>
      <c r="D20" s="623" t="s">
        <v>40</v>
      </c>
      <c r="F20" s="619"/>
      <c r="G20" s="620"/>
      <c r="H20" s="204"/>
      <c r="N20" s="43"/>
      <c r="O20" s="43"/>
      <c r="P20" s="43"/>
      <c r="Q20" s="43"/>
    </row>
    <row r="21" spans="1:17" ht="28.15" customHeight="1" x14ac:dyDescent="0.25">
      <c r="C21" s="347"/>
      <c r="D21" s="624"/>
      <c r="E21" s="1470" t="s">
        <v>41</v>
      </c>
      <c r="F21" s="1471"/>
      <c r="G21" s="1472"/>
      <c r="H21" s="204"/>
      <c r="I21" s="869" t="s">
        <v>42</v>
      </c>
      <c r="J21" s="870"/>
      <c r="K21" s="871"/>
      <c r="N21" s="43"/>
      <c r="O21" s="43"/>
      <c r="P21" s="43"/>
      <c r="Q21" s="43"/>
    </row>
    <row r="22" spans="1:17" ht="30.75" customHeight="1" x14ac:dyDescent="0.25">
      <c r="C22" s="347"/>
      <c r="D22" s="627"/>
      <c r="E22" s="625" t="s">
        <v>43</v>
      </c>
      <c r="F22" s="534" t="s">
        <v>44</v>
      </c>
      <c r="G22" s="628"/>
      <c r="H22" s="204"/>
      <c r="I22" s="1504" t="s">
        <v>45</v>
      </c>
      <c r="J22" s="1505"/>
      <c r="K22" s="1505"/>
      <c r="L22" s="1505"/>
      <c r="M22" s="1506"/>
      <c r="N22" s="43"/>
      <c r="O22" s="43"/>
      <c r="P22" s="43"/>
      <c r="Q22" s="43"/>
    </row>
    <row r="23" spans="1:17" ht="24" customHeight="1" x14ac:dyDescent="0.25">
      <c r="A23" s="54">
        <f>IF(E23&gt;0,1,0)</f>
        <v>0</v>
      </c>
      <c r="B23" s="1238">
        <f>IF(F23="OUI",1,0)</f>
        <v>0</v>
      </c>
      <c r="C23" s="599">
        <f t="shared" ref="C23:C28" si="0">IF(ISBLANK(E23)=TRUE,IF(ISBLANK(F23)=TRUE,IF(ISBLANK(G23)=TRUE,0,1),1),IF(ISBLANK(F23)=FALSE,IF(ISBLANK(G23)=FALSE,2,1),1))</f>
        <v>2</v>
      </c>
      <c r="D23" s="626" t="s">
        <v>46</v>
      </c>
      <c r="E23" s="1233">
        <v>0</v>
      </c>
      <c r="F23" s="622" t="s">
        <v>51</v>
      </c>
      <c r="G23" s="1230" t="s">
        <v>51</v>
      </c>
      <c r="H23" s="206"/>
      <c r="I23" s="796" t="s">
        <v>47</v>
      </c>
      <c r="J23" s="798"/>
      <c r="K23" s="43"/>
      <c r="L23" s="43"/>
      <c r="M23" s="43"/>
      <c r="N23" s="43"/>
      <c r="O23" s="43"/>
      <c r="P23" s="43"/>
      <c r="Q23" s="43"/>
    </row>
    <row r="24" spans="1:17" ht="45.75" customHeight="1" x14ac:dyDescent="0.25">
      <c r="A24" s="54">
        <f t="shared" ref="A24:A28" si="1">IF(E24&gt;0,1,0)</f>
        <v>0</v>
      </c>
      <c r="B24" s="1238">
        <f t="shared" ref="B24:B28" si="2">IF(F24="OUI",1,0)</f>
        <v>0</v>
      </c>
      <c r="C24" s="599">
        <f>IF(ISBLANK(E24)=TRUE,IF(ISBLANK(F24)=TRUE,IF(ISBLANK(G24)=TRUE,0,1),1),IF(ISBLANK(F24)=FALSE,IF(ISBLANK(G24)=FALSE,2,1),1))</f>
        <v>2</v>
      </c>
      <c r="D24" s="345" t="s">
        <v>48</v>
      </c>
      <c r="E24" s="1233">
        <v>0</v>
      </c>
      <c r="F24" s="1228" t="s">
        <v>51</v>
      </c>
      <c r="G24" s="1231" t="s">
        <v>51</v>
      </c>
      <c r="H24" s="206" t="b">
        <f>ISBLANK(G24)</f>
        <v>0</v>
      </c>
      <c r="I24" s="1504" t="s">
        <v>49</v>
      </c>
      <c r="J24" s="1505"/>
      <c r="K24" s="1505"/>
      <c r="L24" s="1505"/>
      <c r="M24" s="1506"/>
      <c r="O24" s="43"/>
      <c r="P24" s="43"/>
      <c r="Q24" s="43"/>
    </row>
    <row r="25" spans="1:17" ht="42" customHeight="1" x14ac:dyDescent="0.25">
      <c r="A25" s="54">
        <f t="shared" si="1"/>
        <v>0</v>
      </c>
      <c r="B25" s="1238">
        <f t="shared" si="2"/>
        <v>0</v>
      </c>
      <c r="C25" s="599">
        <f>IF(ISBLANK(E25)=TRUE,IF(ISBLANK(F25)=TRUE,IF(ISBLANK(G25)=TRUE,0,1),1),IF(ISBLANK(F25)=FALSE,IF(ISBLANK(G25)=FALSE,2,1),1))</f>
        <v>2</v>
      </c>
      <c r="D25" s="345" t="s">
        <v>50</v>
      </c>
      <c r="E25" s="1233">
        <v>0</v>
      </c>
      <c r="F25" s="1228" t="s">
        <v>51</v>
      </c>
      <c r="G25" s="1232" t="s">
        <v>51</v>
      </c>
      <c r="H25" s="206"/>
      <c r="N25" s="43"/>
      <c r="O25" s="43"/>
      <c r="P25" s="43"/>
      <c r="Q25" s="43"/>
    </row>
    <row r="26" spans="1:17" ht="38.25" customHeight="1" x14ac:dyDescent="0.25">
      <c r="A26" s="54">
        <f t="shared" si="1"/>
        <v>0</v>
      </c>
      <c r="B26" s="1238">
        <f t="shared" si="2"/>
        <v>0</v>
      </c>
      <c r="C26" s="599">
        <f t="shared" si="0"/>
        <v>2</v>
      </c>
      <c r="D26" s="345" t="s">
        <v>52</v>
      </c>
      <c r="E26" s="1233">
        <v>0</v>
      </c>
      <c r="F26" s="1228" t="s">
        <v>51</v>
      </c>
      <c r="G26" s="1232" t="s">
        <v>51</v>
      </c>
      <c r="H26" s="206" t="b">
        <f>ISBLANK(G26)</f>
        <v>0</v>
      </c>
      <c r="I26" s="1504" t="s">
        <v>53</v>
      </c>
      <c r="J26" s="1386"/>
      <c r="K26" s="1386"/>
      <c r="L26" s="1386"/>
      <c r="M26" s="1387"/>
      <c r="N26" s="43"/>
      <c r="O26" s="43"/>
      <c r="P26" s="43"/>
      <c r="Q26" s="43"/>
    </row>
    <row r="27" spans="1:17" ht="38.25" customHeight="1" x14ac:dyDescent="0.25">
      <c r="A27" s="54">
        <f t="shared" si="1"/>
        <v>0</v>
      </c>
      <c r="B27" s="1238">
        <f t="shared" si="2"/>
        <v>0</v>
      </c>
      <c r="C27" s="599">
        <f t="shared" si="0"/>
        <v>2</v>
      </c>
      <c r="D27" s="345" t="s">
        <v>54</v>
      </c>
      <c r="E27" s="1233">
        <v>0</v>
      </c>
      <c r="F27" s="1228" t="s">
        <v>51</v>
      </c>
      <c r="G27" s="1232" t="s">
        <v>51</v>
      </c>
      <c r="H27" s="206" t="b">
        <f t="shared" ref="H27:H28" si="3">ISBLANK(G27)</f>
        <v>0</v>
      </c>
      <c r="I27" s="92"/>
      <c r="J27" s="140"/>
      <c r="K27" s="43"/>
      <c r="L27" s="43"/>
      <c r="M27" s="43"/>
      <c r="N27" s="43"/>
      <c r="O27" s="43"/>
      <c r="P27" s="43"/>
      <c r="Q27" s="43"/>
    </row>
    <row r="28" spans="1:17" ht="37.5" customHeight="1" x14ac:dyDescent="0.25">
      <c r="A28" s="54">
        <f t="shared" si="1"/>
        <v>0</v>
      </c>
      <c r="B28" s="1238">
        <f t="shared" si="2"/>
        <v>0</v>
      </c>
      <c r="C28" s="599">
        <f t="shared" si="0"/>
        <v>2</v>
      </c>
      <c r="D28" s="345" t="s">
        <v>55</v>
      </c>
      <c r="E28" s="1233">
        <v>0</v>
      </c>
      <c r="F28" s="1228" t="s">
        <v>51</v>
      </c>
      <c r="G28" s="1232" t="s">
        <v>51</v>
      </c>
      <c r="H28" s="206" t="b">
        <f t="shared" si="3"/>
        <v>0</v>
      </c>
      <c r="I28" s="1504" t="s">
        <v>56</v>
      </c>
      <c r="J28" s="1505"/>
      <c r="K28" s="1505"/>
      <c r="L28" s="1505"/>
      <c r="M28" s="1506"/>
      <c r="N28" s="43"/>
      <c r="O28" s="43"/>
      <c r="P28" s="43"/>
      <c r="Q28" s="43"/>
    </row>
    <row r="29" spans="1:17" ht="15" customHeight="1" x14ac:dyDescent="0.3">
      <c r="C29" s="348"/>
      <c r="D29" s="541" t="s">
        <v>57</v>
      </c>
      <c r="E29" s="1467">
        <f>SUM(A23:A28)</f>
        <v>0</v>
      </c>
      <c r="F29" s="1387"/>
      <c r="G29" s="568"/>
      <c r="H29" s="510"/>
      <c r="I29" s="315"/>
      <c r="J29"/>
      <c r="K29" s="315"/>
      <c r="L29" s="315"/>
      <c r="M29" s="315"/>
      <c r="N29" s="43"/>
      <c r="O29" s="43"/>
      <c r="P29" s="43"/>
      <c r="Q29" s="43"/>
    </row>
    <row r="30" spans="1:17" ht="15" customHeight="1" x14ac:dyDescent="0.3">
      <c r="C30" s="348"/>
      <c r="D30" s="541" t="s">
        <v>58</v>
      </c>
      <c r="E30" s="1467">
        <f>SUM(E23:E28)</f>
        <v>0</v>
      </c>
      <c r="F30" s="1387"/>
      <c r="G30" s="568"/>
      <c r="H30" s="204"/>
      <c r="I30" s="1507" t="str">
        <f>IF(E30=100,"Pourcentage total OK!","ATTENTION, vous n'atteignez pas ou vous dépassez les 100%!")</f>
        <v>ATTENTION, vous n'atteignez pas ou vous dépassez les 100%!</v>
      </c>
      <c r="J30" s="1508"/>
      <c r="K30" s="1508"/>
      <c r="L30" s="1508"/>
      <c r="M30" s="1509"/>
      <c r="N30" s="43"/>
      <c r="O30" s="43"/>
      <c r="P30" s="43"/>
      <c r="Q30" s="43"/>
    </row>
    <row r="31" spans="1:17" ht="15" customHeight="1" thickBot="1" x14ac:dyDescent="0.35">
      <c r="C31" s="349"/>
      <c r="D31" s="542" t="s">
        <v>59</v>
      </c>
      <c r="E31" s="1468">
        <f>SUM(B23:B28)</f>
        <v>0</v>
      </c>
      <c r="F31" s="1469"/>
      <c r="G31" s="569"/>
      <c r="H31" s="204"/>
      <c r="I31" s="43"/>
      <c r="J31" s="43"/>
      <c r="K31" s="43"/>
      <c r="L31" s="43"/>
      <c r="M31" s="43"/>
      <c r="N31" s="43"/>
      <c r="O31" s="43"/>
      <c r="P31" s="43"/>
      <c r="Q31" s="43"/>
    </row>
    <row r="32" spans="1:17" ht="15" customHeight="1" x14ac:dyDescent="0.25">
      <c r="C32" s="442" t="s">
        <v>60</v>
      </c>
      <c r="D32" s="443"/>
      <c r="E32" s="443"/>
      <c r="F32" s="1499"/>
      <c r="G32" s="1500"/>
      <c r="J32" s="43"/>
      <c r="K32" s="43"/>
      <c r="L32" s="43"/>
      <c r="M32" s="43"/>
      <c r="N32" s="43"/>
      <c r="O32" s="43"/>
      <c r="P32" s="43"/>
      <c r="Q32" s="43"/>
    </row>
    <row r="33" spans="1:20" ht="31.15" customHeight="1" x14ac:dyDescent="0.25">
      <c r="C33" s="347"/>
      <c r="D33" s="547" t="s">
        <v>61</v>
      </c>
      <c r="E33" s="579" t="s">
        <v>62</v>
      </c>
      <c r="F33" s="1463" t="s">
        <v>63</v>
      </c>
      <c r="G33" s="1464"/>
      <c r="I33" s="1510" t="s">
        <v>64</v>
      </c>
      <c r="J33" s="1386"/>
      <c r="K33" s="1386"/>
      <c r="L33" s="1386"/>
      <c r="M33" s="1387"/>
      <c r="N33" s="43"/>
      <c r="O33" s="43"/>
      <c r="P33" s="1349"/>
      <c r="Q33" s="1350"/>
      <c r="R33" s="1350"/>
      <c r="S33" s="1350"/>
      <c r="T33" s="1350"/>
    </row>
    <row r="34" spans="1:20" ht="15" customHeight="1" x14ac:dyDescent="0.3">
      <c r="C34" s="348"/>
      <c r="D34" s="350" t="s">
        <v>65</v>
      </c>
      <c r="E34" s="346">
        <v>0</v>
      </c>
      <c r="F34" s="1465">
        <v>0</v>
      </c>
      <c r="G34" s="1466"/>
      <c r="I34" s="316"/>
      <c r="J34" s="564"/>
      <c r="K34" s="564"/>
      <c r="L34" s="564"/>
      <c r="M34" s="564"/>
      <c r="N34" s="43"/>
      <c r="O34" s="43"/>
      <c r="P34" s="1350"/>
      <c r="Q34" s="1350"/>
      <c r="R34" s="1350"/>
      <c r="S34" s="1350"/>
      <c r="T34" s="1350"/>
    </row>
    <row r="35" spans="1:20" ht="15" customHeight="1" x14ac:dyDescent="0.3">
      <c r="C35" s="348"/>
      <c r="D35" s="350" t="s">
        <v>66</v>
      </c>
      <c r="E35" s="346">
        <v>0</v>
      </c>
      <c r="F35" s="1465">
        <v>0</v>
      </c>
      <c r="G35" s="1466"/>
      <c r="I35" s="796" t="s">
        <v>67</v>
      </c>
      <c r="J35" s="798"/>
      <c r="K35" s="43"/>
      <c r="L35" s="43"/>
      <c r="N35" s="43"/>
      <c r="O35" s="43"/>
      <c r="P35" s="1350"/>
      <c r="Q35" s="1350"/>
      <c r="R35" s="1350"/>
      <c r="S35" s="1350"/>
      <c r="T35" s="1350"/>
    </row>
    <row r="36" spans="1:20" ht="15" customHeight="1" x14ac:dyDescent="0.3">
      <c r="C36" s="348"/>
      <c r="D36" s="350" t="s">
        <v>68</v>
      </c>
      <c r="E36" s="346">
        <v>0</v>
      </c>
      <c r="F36" s="1465">
        <v>0</v>
      </c>
      <c r="G36" s="1466"/>
      <c r="I36" s="43"/>
      <c r="J36" s="43"/>
      <c r="K36" s="43"/>
      <c r="L36" s="43"/>
      <c r="N36" s="43"/>
      <c r="O36" s="43"/>
      <c r="P36" s="43"/>
      <c r="Q36" s="43"/>
    </row>
    <row r="37" spans="1:20" ht="15" customHeight="1" x14ac:dyDescent="0.3">
      <c r="C37" s="348"/>
      <c r="D37" s="350" t="s">
        <v>69</v>
      </c>
      <c r="E37" s="346">
        <v>0</v>
      </c>
      <c r="F37" s="1465">
        <v>0</v>
      </c>
      <c r="G37" s="1466"/>
      <c r="I37" s="1379" t="s">
        <v>70</v>
      </c>
      <c r="J37" s="1380"/>
      <c r="K37" s="1380"/>
      <c r="L37" s="1380"/>
      <c r="M37" s="1381"/>
      <c r="N37" s="43"/>
      <c r="O37" s="43"/>
      <c r="P37" s="43"/>
      <c r="Q37" s="43"/>
    </row>
    <row r="38" spans="1:20" ht="15" customHeight="1" x14ac:dyDescent="0.3">
      <c r="C38" s="348"/>
      <c r="D38" s="605" t="s">
        <v>71</v>
      </c>
      <c r="E38" s="346">
        <v>0</v>
      </c>
      <c r="F38" s="1465">
        <v>0</v>
      </c>
      <c r="G38" s="1466"/>
      <c r="I38" s="1382"/>
      <c r="J38" s="1383"/>
      <c r="K38" s="1383"/>
      <c r="L38" s="1383"/>
      <c r="M38" s="1384"/>
      <c r="N38" s="43"/>
      <c r="O38" s="43"/>
      <c r="P38" s="43"/>
      <c r="Q38" s="43"/>
    </row>
    <row r="39" spans="1:20" ht="15" customHeight="1" x14ac:dyDescent="0.3">
      <c r="C39" s="348"/>
      <c r="D39" s="350" t="s">
        <v>72</v>
      </c>
      <c r="E39" s="346">
        <v>0</v>
      </c>
      <c r="F39" s="1465">
        <v>0</v>
      </c>
      <c r="G39" s="1466"/>
      <c r="J39" s="43"/>
      <c r="K39" s="43"/>
      <c r="L39" s="43"/>
      <c r="M39" s="43"/>
      <c r="N39" s="43"/>
      <c r="O39" s="43"/>
      <c r="P39" s="43"/>
      <c r="Q39" s="43"/>
    </row>
    <row r="40" spans="1:20" ht="27.6" customHeight="1" thickBot="1" x14ac:dyDescent="0.35">
      <c r="C40" s="604"/>
      <c r="D40" s="629" t="s">
        <v>73</v>
      </c>
      <c r="E40" s="607" t="s">
        <v>74</v>
      </c>
      <c r="F40" s="1456">
        <f>SUM(F34:G39)</f>
        <v>0</v>
      </c>
      <c r="G40" s="1457"/>
      <c r="H40" s="606"/>
      <c r="I40" s="1458" t="str">
        <f>IF(F40&gt;E6,"Pour information, vous avez encodé un nombre de droits supérieur à la superficie totale de l'exploitation.","Pour information, vous avez encodé un nombre de droits inférieur ou égal à la superficie totale de l'exploitation.")</f>
        <v>Pour information, vous avez encodé un nombre de droits inférieur ou égal à la superficie totale de l'exploitation.</v>
      </c>
      <c r="J40" s="1459"/>
      <c r="K40" s="1459"/>
      <c r="L40" s="1459"/>
      <c r="M40" s="1460"/>
      <c r="N40" s="43"/>
      <c r="O40" s="43"/>
      <c r="P40" s="43"/>
      <c r="Q40" s="43"/>
    </row>
    <row r="41" spans="1:20" ht="37.9" customHeight="1" thickBot="1" x14ac:dyDescent="0.3">
      <c r="J41" s="43"/>
      <c r="K41" s="43"/>
      <c r="L41" s="43"/>
      <c r="M41" s="43"/>
      <c r="N41" s="43"/>
      <c r="O41" s="43"/>
      <c r="P41" s="43"/>
      <c r="Q41" s="43"/>
    </row>
    <row r="42" spans="1:20" ht="72" customHeight="1" thickBot="1" x14ac:dyDescent="0.3">
      <c r="C42" s="655"/>
      <c r="D42" s="656" t="s">
        <v>75</v>
      </c>
      <c r="E42" s="657"/>
      <c r="F42"/>
      <c r="G42"/>
      <c r="H42" s="1389" t="s">
        <v>76</v>
      </c>
      <c r="I42" s="1396"/>
      <c r="J42" s="1396"/>
      <c r="K42" s="1396"/>
      <c r="L42" s="1397"/>
      <c r="M42" s="43"/>
      <c r="O42" s="43"/>
      <c r="P42" s="43"/>
    </row>
    <row r="43" spans="1:20" ht="14.25" customHeight="1" x14ac:dyDescent="0.25">
      <c r="B43" s="206">
        <f t="shared" ref="B43:B99" si="4">IF(A43=TRUE,IF(E43=0,0,1),IF(E43=0,2,0))</f>
        <v>2</v>
      </c>
      <c r="C43" s="97" t="s">
        <v>77</v>
      </c>
      <c r="D43" s="659"/>
      <c r="E43" s="98"/>
      <c r="F43" s="381"/>
      <c r="G43" s="381"/>
      <c r="H43" s="139"/>
      <c r="I43" s="139" t="s">
        <v>78</v>
      </c>
      <c r="J43" s="139"/>
      <c r="K43" s="139"/>
      <c r="L43" s="139"/>
      <c r="M43" s="43"/>
      <c r="N43" s="43"/>
      <c r="O43" s="43"/>
      <c r="P43" s="43"/>
    </row>
    <row r="44" spans="1:20" ht="16.149999999999999" customHeight="1" x14ac:dyDescent="0.25">
      <c r="A44" s="54" t="b">
        <f>ISBLANK(D44)</f>
        <v>1</v>
      </c>
      <c r="B44" s="206">
        <f t="shared" si="4"/>
        <v>0</v>
      </c>
      <c r="C44" s="90"/>
      <c r="D44" s="410"/>
      <c r="E44" s="107">
        <v>0</v>
      </c>
      <c r="H44" s="1358" t="s">
        <v>80</v>
      </c>
      <c r="I44" s="1359"/>
      <c r="J44" s="1359"/>
      <c r="K44" s="1359"/>
      <c r="L44" s="1360"/>
      <c r="M44" s="43"/>
      <c r="N44" s="43"/>
      <c r="O44" s="43"/>
      <c r="P44" s="43"/>
    </row>
    <row r="45" spans="1:20" ht="14.25" customHeight="1" x14ac:dyDescent="0.25">
      <c r="A45" s="54" t="b">
        <f t="shared" ref="A45:A91" si="5">ISBLANK(D45)</f>
        <v>1</v>
      </c>
      <c r="B45" s="206">
        <f t="shared" si="4"/>
        <v>0</v>
      </c>
      <c r="C45" s="90"/>
      <c r="D45" s="411"/>
      <c r="E45" s="95">
        <v>0</v>
      </c>
      <c r="H45" s="1361"/>
      <c r="I45" s="1362"/>
      <c r="J45" s="1362"/>
      <c r="K45" s="1362"/>
      <c r="L45" s="1363"/>
      <c r="M45" s="43"/>
      <c r="N45" s="43"/>
      <c r="O45" s="43"/>
      <c r="P45" s="43"/>
    </row>
    <row r="46" spans="1:20" ht="14.25" customHeight="1" x14ac:dyDescent="0.25">
      <c r="A46" s="54" t="b">
        <f t="shared" si="5"/>
        <v>1</v>
      </c>
      <c r="B46" s="206">
        <f t="shared" si="4"/>
        <v>0</v>
      </c>
      <c r="C46" s="90"/>
      <c r="D46" s="412"/>
      <c r="E46" s="108">
        <v>0</v>
      </c>
      <c r="H46" s="1364"/>
      <c r="I46" s="1365"/>
      <c r="J46" s="1365"/>
      <c r="K46" s="1365"/>
      <c r="L46" s="1366"/>
      <c r="M46" s="43"/>
      <c r="N46" s="43"/>
      <c r="O46" s="43"/>
      <c r="P46" s="43"/>
    </row>
    <row r="47" spans="1:20" ht="14.25" customHeight="1" x14ac:dyDescent="0.25">
      <c r="A47" s="54" t="b">
        <f t="shared" si="5"/>
        <v>1</v>
      </c>
      <c r="B47" s="206">
        <f t="shared" si="4"/>
        <v>0</v>
      </c>
      <c r="C47" s="97" t="s">
        <v>82</v>
      </c>
      <c r="D47" s="96"/>
      <c r="E47" s="98"/>
      <c r="H47" s="94"/>
      <c r="I47" s="43"/>
      <c r="J47" s="43"/>
      <c r="K47" s="43"/>
      <c r="L47" s="43"/>
      <c r="M47" s="43"/>
      <c r="N47" s="43"/>
      <c r="O47" s="43"/>
      <c r="P47" s="43"/>
    </row>
    <row r="48" spans="1:20" ht="14.25" customHeight="1" x14ac:dyDescent="0.25">
      <c r="A48" s="54" t="b">
        <f t="shared" si="5"/>
        <v>1</v>
      </c>
      <c r="B48" s="206">
        <f t="shared" si="4"/>
        <v>0</v>
      </c>
      <c r="C48" s="90"/>
      <c r="D48" s="660"/>
      <c r="E48" s="107">
        <v>0</v>
      </c>
      <c r="H48" s="1367" t="s">
        <v>83</v>
      </c>
      <c r="I48" s="1368"/>
      <c r="J48" s="1368"/>
      <c r="K48" s="1368"/>
      <c r="L48" s="1369"/>
      <c r="M48" s="43"/>
      <c r="N48" s="43"/>
      <c r="O48" s="43"/>
      <c r="P48" s="43"/>
    </row>
    <row r="49" spans="1:16" ht="14.25" customHeight="1" x14ac:dyDescent="0.25">
      <c r="A49" s="54" t="b">
        <f t="shared" si="5"/>
        <v>1</v>
      </c>
      <c r="B49" s="206">
        <f t="shared" si="4"/>
        <v>0</v>
      </c>
      <c r="C49" s="90"/>
      <c r="D49" s="104"/>
      <c r="E49" s="95">
        <v>0</v>
      </c>
      <c r="H49" s="1370"/>
      <c r="I49" s="1371"/>
      <c r="J49" s="1371"/>
      <c r="K49" s="1371"/>
      <c r="L49" s="1372"/>
      <c r="M49" s="43"/>
      <c r="N49" s="43"/>
      <c r="O49" s="43"/>
      <c r="P49" s="43"/>
    </row>
    <row r="50" spans="1:16" ht="14.25" customHeight="1" x14ac:dyDescent="0.25">
      <c r="A50" s="54" t="b">
        <f t="shared" si="5"/>
        <v>1</v>
      </c>
      <c r="B50" s="206">
        <f t="shared" si="4"/>
        <v>0</v>
      </c>
      <c r="C50" s="90"/>
      <c r="D50" s="411"/>
      <c r="E50" s="95">
        <v>0</v>
      </c>
      <c r="H50" s="92"/>
      <c r="I50" s="43"/>
      <c r="J50" s="43"/>
      <c r="K50" s="43"/>
      <c r="L50" s="43"/>
      <c r="M50" s="43"/>
      <c r="N50" s="43"/>
      <c r="O50" s="43"/>
      <c r="P50" s="43"/>
    </row>
    <row r="51" spans="1:16" ht="14.25" customHeight="1" x14ac:dyDescent="0.25">
      <c r="A51" s="54" t="b">
        <f t="shared" si="5"/>
        <v>1</v>
      </c>
      <c r="B51" s="206">
        <f t="shared" si="4"/>
        <v>0</v>
      </c>
      <c r="C51" s="90"/>
      <c r="D51" s="411"/>
      <c r="E51" s="95">
        <v>0</v>
      </c>
      <c r="H51" s="92"/>
      <c r="I51" s="140"/>
      <c r="J51" s="43"/>
      <c r="K51" s="43"/>
      <c r="L51" s="43"/>
      <c r="M51" s="43"/>
      <c r="N51" s="43"/>
      <c r="O51" s="43"/>
      <c r="P51" s="43"/>
    </row>
    <row r="52" spans="1:16" ht="14.25" customHeight="1" x14ac:dyDescent="0.25">
      <c r="A52" s="54" t="b">
        <f t="shared" si="5"/>
        <v>1</v>
      </c>
      <c r="B52" s="206">
        <f t="shared" si="4"/>
        <v>0</v>
      </c>
      <c r="C52" s="90"/>
      <c r="D52" s="412"/>
      <c r="E52" s="108">
        <v>0</v>
      </c>
      <c r="M52" s="43"/>
      <c r="N52" s="43"/>
      <c r="O52" s="43"/>
      <c r="P52" s="43"/>
    </row>
    <row r="53" spans="1:16" ht="30.6" customHeight="1" x14ac:dyDescent="0.25">
      <c r="A53" s="54" t="b">
        <f t="shared" si="5"/>
        <v>1</v>
      </c>
      <c r="B53" s="206">
        <f t="shared" si="4"/>
        <v>0</v>
      </c>
      <c r="C53" s="97" t="s">
        <v>88</v>
      </c>
      <c r="D53" s="96"/>
      <c r="E53" s="98"/>
      <c r="H53" s="1354" t="s">
        <v>89</v>
      </c>
      <c r="I53" s="1355"/>
      <c r="J53" s="1355"/>
      <c r="K53" s="1355"/>
      <c r="L53" s="1356"/>
      <c r="M53" s="43"/>
      <c r="N53" s="43"/>
      <c r="O53" s="43"/>
      <c r="P53" s="43"/>
    </row>
    <row r="54" spans="1:16" ht="14.25" customHeight="1" x14ac:dyDescent="0.25">
      <c r="A54" s="54" t="b">
        <f t="shared" si="5"/>
        <v>1</v>
      </c>
      <c r="B54" s="206">
        <f t="shared" si="4"/>
        <v>0</v>
      </c>
      <c r="C54" s="90"/>
      <c r="D54" s="410"/>
      <c r="E54" s="107">
        <v>0</v>
      </c>
      <c r="H54" s="92"/>
      <c r="I54" s="43"/>
      <c r="J54" s="43"/>
      <c r="K54" s="43"/>
      <c r="L54" s="43"/>
      <c r="M54" s="43"/>
      <c r="N54" s="43"/>
      <c r="O54" s="43"/>
      <c r="P54" s="43"/>
    </row>
    <row r="55" spans="1:16" ht="14.25" customHeight="1" x14ac:dyDescent="0.25">
      <c r="A55" s="54" t="b">
        <f t="shared" si="5"/>
        <v>1</v>
      </c>
      <c r="B55" s="206">
        <f t="shared" si="4"/>
        <v>0</v>
      </c>
      <c r="C55" s="90"/>
      <c r="D55" s="33"/>
      <c r="E55" s="95">
        <v>0</v>
      </c>
      <c r="H55" s="92"/>
      <c r="I55" s="43"/>
      <c r="J55" s="43"/>
      <c r="K55" s="43"/>
      <c r="L55" s="43"/>
      <c r="M55" s="43"/>
      <c r="N55" s="43"/>
      <c r="O55" s="43"/>
      <c r="P55" s="43"/>
    </row>
    <row r="56" spans="1:16" ht="14.25" customHeight="1" x14ac:dyDescent="0.25">
      <c r="A56" s="54" t="b">
        <f t="shared" si="5"/>
        <v>1</v>
      </c>
      <c r="B56" s="206">
        <f t="shared" si="4"/>
        <v>0</v>
      </c>
      <c r="C56" s="90"/>
      <c r="D56" s="33"/>
      <c r="E56" s="95">
        <v>0</v>
      </c>
      <c r="H56" s="413" t="s">
        <v>92</v>
      </c>
      <c r="I56" s="414"/>
      <c r="J56" s="414"/>
      <c r="K56" s="414"/>
      <c r="L56" s="415"/>
      <c r="M56" s="43"/>
      <c r="N56" s="43"/>
      <c r="O56" s="43"/>
      <c r="P56" s="43"/>
    </row>
    <row r="57" spans="1:16" ht="14.25" customHeight="1" x14ac:dyDescent="0.25">
      <c r="A57" s="54" t="b">
        <f t="shared" si="5"/>
        <v>1</v>
      </c>
      <c r="B57" s="206">
        <f t="shared" si="4"/>
        <v>0</v>
      </c>
      <c r="C57" s="90"/>
      <c r="D57" s="33"/>
      <c r="E57" s="95">
        <v>0</v>
      </c>
      <c r="H57" s="416"/>
      <c r="I57" s="1357" t="s">
        <v>94</v>
      </c>
      <c r="J57" s="1357"/>
      <c r="K57" s="43"/>
      <c r="L57" s="417"/>
      <c r="M57" s="43"/>
      <c r="N57" s="43"/>
      <c r="O57" s="43"/>
      <c r="P57" s="43"/>
    </row>
    <row r="58" spans="1:16" ht="14.25" customHeight="1" x14ac:dyDescent="0.25">
      <c r="A58" s="54" t="b">
        <f t="shared" si="5"/>
        <v>1</v>
      </c>
      <c r="B58" s="206">
        <f t="shared" si="4"/>
        <v>0</v>
      </c>
      <c r="C58" s="90"/>
      <c r="D58" s="33"/>
      <c r="E58" s="95">
        <v>0</v>
      </c>
      <c r="H58" s="416"/>
      <c r="I58" s="1357" t="s">
        <v>95</v>
      </c>
      <c r="J58" s="1357"/>
      <c r="K58" s="43"/>
      <c r="L58" s="417"/>
      <c r="M58" s="43"/>
      <c r="N58" s="43"/>
      <c r="O58" s="43"/>
      <c r="P58" s="43"/>
    </row>
    <row r="59" spans="1:16" ht="14.25" customHeight="1" x14ac:dyDescent="0.25">
      <c r="A59" s="54" t="b">
        <f t="shared" si="5"/>
        <v>1</v>
      </c>
      <c r="B59" s="206">
        <f t="shared" si="4"/>
        <v>0</v>
      </c>
      <c r="C59" s="90"/>
      <c r="D59" s="33"/>
      <c r="E59" s="95">
        <v>0</v>
      </c>
      <c r="H59" s="416"/>
      <c r="I59" s="1357" t="s">
        <v>96</v>
      </c>
      <c r="J59" s="1357"/>
      <c r="K59" s="43"/>
      <c r="L59" s="417"/>
      <c r="M59" s="43"/>
      <c r="N59" s="43"/>
      <c r="O59" s="43"/>
      <c r="P59" s="43"/>
    </row>
    <row r="60" spans="1:16" ht="14.25" customHeight="1" x14ac:dyDescent="0.25">
      <c r="A60" s="54" t="b">
        <f t="shared" si="5"/>
        <v>1</v>
      </c>
      <c r="B60" s="206">
        <f t="shared" si="4"/>
        <v>0</v>
      </c>
      <c r="C60" s="90"/>
      <c r="D60" s="33"/>
      <c r="E60" s="95">
        <v>0</v>
      </c>
      <c r="H60" s="416"/>
      <c r="I60" s="1357" t="s">
        <v>97</v>
      </c>
      <c r="J60" s="1357"/>
      <c r="K60" s="43"/>
      <c r="L60" s="417"/>
      <c r="M60" s="43"/>
      <c r="N60" s="43"/>
      <c r="O60" s="43"/>
      <c r="P60" s="43"/>
    </row>
    <row r="61" spans="1:16" ht="13.15" customHeight="1" x14ac:dyDescent="0.25">
      <c r="A61" s="54" t="b">
        <f t="shared" si="5"/>
        <v>1</v>
      </c>
      <c r="B61" s="206">
        <f t="shared" si="4"/>
        <v>0</v>
      </c>
      <c r="C61" s="90"/>
      <c r="D61" s="33"/>
      <c r="E61" s="95">
        <v>0</v>
      </c>
      <c r="H61" s="418" t="s">
        <v>99</v>
      </c>
      <c r="I61" s="421"/>
      <c r="J61" s="419"/>
      <c r="K61" s="419"/>
      <c r="L61" s="420"/>
      <c r="M61" s="43"/>
      <c r="N61" s="43"/>
      <c r="O61" s="43"/>
      <c r="P61" s="43"/>
    </row>
    <row r="62" spans="1:16" ht="13.15" customHeight="1" x14ac:dyDescent="0.25">
      <c r="A62" s="54" t="b">
        <f t="shared" si="5"/>
        <v>1</v>
      </c>
      <c r="B62" s="206">
        <f t="shared" si="4"/>
        <v>0</v>
      </c>
      <c r="C62" s="90"/>
      <c r="D62" s="33"/>
      <c r="E62" s="95">
        <v>0</v>
      </c>
      <c r="H62" s="92"/>
      <c r="I62" s="1357"/>
      <c r="J62" s="1357"/>
      <c r="K62" s="43"/>
      <c r="L62" s="43"/>
      <c r="M62" s="43"/>
      <c r="N62" s="43"/>
      <c r="O62" s="43"/>
      <c r="P62" s="43"/>
    </row>
    <row r="63" spans="1:16" ht="14.25" customHeight="1" x14ac:dyDescent="0.25">
      <c r="A63" s="54" t="b">
        <f t="shared" si="5"/>
        <v>1</v>
      </c>
      <c r="B63" s="206">
        <f t="shared" si="4"/>
        <v>0</v>
      </c>
      <c r="C63" s="90"/>
      <c r="D63" s="317"/>
      <c r="E63" s="108">
        <v>0</v>
      </c>
      <c r="H63" s="92"/>
      <c r="I63" s="1357"/>
      <c r="J63" s="1357"/>
      <c r="K63" s="43"/>
      <c r="L63" s="43"/>
      <c r="M63" s="43"/>
      <c r="N63" s="43"/>
      <c r="O63" s="43"/>
      <c r="P63" s="43"/>
    </row>
    <row r="64" spans="1:16" ht="14.25" customHeight="1" x14ac:dyDescent="0.25">
      <c r="A64" s="54" t="b">
        <f t="shared" si="5"/>
        <v>1</v>
      </c>
      <c r="B64" s="206">
        <f t="shared" si="4"/>
        <v>0</v>
      </c>
      <c r="C64" s="97" t="s">
        <v>100</v>
      </c>
      <c r="D64" s="96"/>
      <c r="E64" s="98"/>
      <c r="H64" s="662" t="s">
        <v>101</v>
      </c>
      <c r="I64" s="611"/>
      <c r="J64" s="663"/>
      <c r="K64" s="663"/>
      <c r="L64" s="664"/>
      <c r="M64" s="43"/>
      <c r="N64" s="43"/>
      <c r="O64" s="43"/>
      <c r="P64" s="43"/>
    </row>
    <row r="65" spans="1:16" ht="14.25" customHeight="1" x14ac:dyDescent="0.25">
      <c r="A65" s="54" t="b">
        <f t="shared" si="5"/>
        <v>1</v>
      </c>
      <c r="B65" s="206">
        <f t="shared" si="4"/>
        <v>0</v>
      </c>
      <c r="C65" s="90"/>
      <c r="D65" s="411"/>
      <c r="E65" s="95">
        <v>0</v>
      </c>
      <c r="J65" s="43"/>
      <c r="K65" s="43"/>
      <c r="L65" s="43"/>
      <c r="M65" s="43"/>
      <c r="N65" s="43"/>
      <c r="O65" s="43"/>
      <c r="P65" s="43"/>
    </row>
    <row r="66" spans="1:16" ht="14.25" customHeight="1" x14ac:dyDescent="0.25">
      <c r="A66" s="54" t="b">
        <f t="shared" si="5"/>
        <v>1</v>
      </c>
      <c r="B66" s="206">
        <f t="shared" si="4"/>
        <v>0</v>
      </c>
      <c r="C66" s="90"/>
      <c r="D66" s="411"/>
      <c r="E66" s="95">
        <v>0</v>
      </c>
      <c r="H66" s="92"/>
      <c r="I66" s="43"/>
      <c r="J66" s="43"/>
      <c r="K66" s="43"/>
      <c r="L66" s="43"/>
    </row>
    <row r="67" spans="1:16" ht="14.25" customHeight="1" x14ac:dyDescent="0.25">
      <c r="A67" s="54" t="b">
        <f t="shared" si="5"/>
        <v>1</v>
      </c>
      <c r="B67" s="206">
        <f t="shared" si="4"/>
        <v>0</v>
      </c>
      <c r="C67" s="90"/>
      <c r="D67" s="411"/>
      <c r="E67" s="95">
        <v>0</v>
      </c>
      <c r="H67" s="92"/>
      <c r="I67" s="43"/>
      <c r="J67" s="43"/>
      <c r="K67" s="43"/>
      <c r="L67" s="43"/>
    </row>
    <row r="68" spans="1:16" ht="14.25" customHeight="1" x14ac:dyDescent="0.25">
      <c r="A68" s="54" t="b">
        <f t="shared" si="5"/>
        <v>1</v>
      </c>
      <c r="B68" s="206">
        <f t="shared" si="4"/>
        <v>0</v>
      </c>
      <c r="C68" s="97" t="s">
        <v>104</v>
      </c>
      <c r="D68" s="96"/>
      <c r="E68" s="98"/>
      <c r="H68" s="662" t="s">
        <v>105</v>
      </c>
      <c r="I68" s="663"/>
      <c r="J68" s="663"/>
      <c r="K68" s="663"/>
      <c r="L68" s="664"/>
    </row>
    <row r="69" spans="1:16" ht="14.25" customHeight="1" x14ac:dyDescent="0.25">
      <c r="A69" s="54" t="b">
        <f t="shared" si="5"/>
        <v>1</v>
      </c>
      <c r="B69" s="206">
        <f t="shared" si="4"/>
        <v>0</v>
      </c>
      <c r="C69" s="90"/>
      <c r="D69" s="411"/>
      <c r="E69" s="95">
        <v>0</v>
      </c>
      <c r="I69" s="43"/>
      <c r="J69" s="43"/>
      <c r="K69" s="43"/>
      <c r="L69" s="43"/>
    </row>
    <row r="70" spans="1:16" ht="14.25" customHeight="1" x14ac:dyDescent="0.25">
      <c r="A70" s="54" t="b">
        <f t="shared" si="5"/>
        <v>1</v>
      </c>
      <c r="B70" s="206">
        <f t="shared" si="4"/>
        <v>0</v>
      </c>
      <c r="C70" s="90"/>
      <c r="D70" s="411"/>
      <c r="E70" s="95">
        <v>0</v>
      </c>
      <c r="H70" s="92"/>
      <c r="I70" s="43"/>
      <c r="J70" s="43"/>
      <c r="K70" s="43"/>
      <c r="L70" s="43"/>
    </row>
    <row r="71" spans="1:16" ht="14.25" customHeight="1" x14ac:dyDescent="0.25">
      <c r="A71" s="54" t="b">
        <f t="shared" si="5"/>
        <v>1</v>
      </c>
      <c r="B71" s="206">
        <f t="shared" si="4"/>
        <v>0</v>
      </c>
      <c r="C71" s="90"/>
      <c r="D71" s="411"/>
      <c r="E71" s="95">
        <v>0</v>
      </c>
      <c r="H71" s="92"/>
      <c r="I71" s="43"/>
      <c r="J71" s="43"/>
      <c r="K71" s="43"/>
      <c r="L71" s="43"/>
    </row>
    <row r="72" spans="1:16" ht="14.25" customHeight="1" x14ac:dyDescent="0.25">
      <c r="A72" s="54" t="b">
        <f t="shared" si="5"/>
        <v>1</v>
      </c>
      <c r="B72" s="206">
        <f t="shared" si="4"/>
        <v>0</v>
      </c>
      <c r="C72" s="90"/>
      <c r="D72" s="411"/>
      <c r="E72" s="95">
        <v>0</v>
      </c>
      <c r="H72" s="92"/>
      <c r="I72" s="43"/>
      <c r="J72" s="43"/>
      <c r="K72" s="43"/>
      <c r="L72" s="43"/>
    </row>
    <row r="73" spans="1:16" ht="14.25" customHeight="1" x14ac:dyDescent="0.25">
      <c r="A73" s="54" t="b">
        <f t="shared" si="5"/>
        <v>1</v>
      </c>
      <c r="B73" s="206">
        <f t="shared" si="4"/>
        <v>0</v>
      </c>
      <c r="C73" s="90"/>
      <c r="D73" s="411"/>
      <c r="E73" s="95">
        <v>0</v>
      </c>
      <c r="H73" s="92"/>
      <c r="J73" s="43"/>
      <c r="K73" s="43"/>
      <c r="L73" s="43"/>
      <c r="M73" s="43"/>
      <c r="N73" s="43"/>
      <c r="O73" s="43"/>
      <c r="P73" s="43"/>
    </row>
    <row r="74" spans="1:16" ht="27.75" customHeight="1" x14ac:dyDescent="0.25">
      <c r="A74" s="54" t="b">
        <f t="shared" si="5"/>
        <v>1</v>
      </c>
      <c r="B74" s="206">
        <f t="shared" si="4"/>
        <v>0</v>
      </c>
      <c r="C74" s="97" t="s">
        <v>111</v>
      </c>
      <c r="D74" s="96"/>
      <c r="E74" s="98"/>
      <c r="H74" s="1354" t="s">
        <v>112</v>
      </c>
      <c r="I74" s="1476"/>
      <c r="J74" s="1476"/>
      <c r="K74" s="1476"/>
      <c r="L74" s="1477"/>
      <c r="M74" s="43"/>
      <c r="N74" s="43"/>
      <c r="O74" s="43"/>
      <c r="P74" s="43"/>
    </row>
    <row r="75" spans="1:16" ht="14.25" customHeight="1" x14ac:dyDescent="0.25">
      <c r="A75" s="726" t="b">
        <f t="shared" si="5"/>
        <v>1</v>
      </c>
      <c r="B75" s="206">
        <f t="shared" si="4"/>
        <v>0</v>
      </c>
      <c r="C75" s="90"/>
      <c r="D75" s="411"/>
      <c r="E75" s="95">
        <v>0</v>
      </c>
      <c r="I75" s="43"/>
      <c r="J75" s="43"/>
      <c r="K75" s="43"/>
      <c r="L75" s="43"/>
      <c r="M75" s="43"/>
      <c r="N75" s="43"/>
      <c r="O75" s="43"/>
      <c r="P75" s="43"/>
    </row>
    <row r="76" spans="1:16" ht="14.25" customHeight="1" x14ac:dyDescent="0.25">
      <c r="A76" s="726" t="b">
        <f t="shared" si="5"/>
        <v>1</v>
      </c>
      <c r="B76" s="206"/>
      <c r="C76" s="90"/>
      <c r="D76" s="411"/>
      <c r="E76" s="95">
        <v>0</v>
      </c>
      <c r="I76" s="43"/>
      <c r="J76" s="43"/>
      <c r="K76" s="43"/>
      <c r="L76" s="43"/>
      <c r="M76" s="43"/>
      <c r="N76" s="43"/>
      <c r="O76" s="43"/>
      <c r="P76" s="43"/>
    </row>
    <row r="77" spans="1:16" ht="14.25" customHeight="1" x14ac:dyDescent="0.25">
      <c r="A77" s="726" t="b">
        <f t="shared" si="5"/>
        <v>1</v>
      </c>
      <c r="B77" s="206"/>
      <c r="C77" s="97" t="s">
        <v>114</v>
      </c>
      <c r="D77" s="96"/>
      <c r="E77" s="98"/>
      <c r="I77" s="43"/>
      <c r="J77" s="43"/>
      <c r="K77" s="43"/>
      <c r="L77" s="43"/>
      <c r="M77" s="43"/>
      <c r="N77" s="43"/>
      <c r="O77" s="43"/>
      <c r="P77" s="43"/>
    </row>
    <row r="78" spans="1:16" ht="18.75" customHeight="1" x14ac:dyDescent="0.25">
      <c r="A78" s="726" t="b">
        <f t="shared" si="5"/>
        <v>0</v>
      </c>
      <c r="B78" s="206"/>
      <c r="C78" s="1061"/>
      <c r="D78" s="1060" t="s">
        <v>115</v>
      </c>
      <c r="E78" s="95">
        <v>0</v>
      </c>
      <c r="H78" s="1332" t="s">
        <v>116</v>
      </c>
      <c r="I78" s="1332"/>
      <c r="J78" s="1332"/>
      <c r="K78" s="1332"/>
      <c r="L78" s="1332"/>
      <c r="M78" s="43"/>
      <c r="N78" s="43"/>
      <c r="O78" s="43"/>
      <c r="P78" s="43"/>
    </row>
    <row r="79" spans="1:16" ht="21" customHeight="1" x14ac:dyDescent="0.25">
      <c r="A79" s="726" t="b">
        <f t="shared" si="5"/>
        <v>0</v>
      </c>
      <c r="B79" s="206">
        <f t="shared" si="4"/>
        <v>2</v>
      </c>
      <c r="C79" s="1061"/>
      <c r="D79" s="1060" t="s">
        <v>117</v>
      </c>
      <c r="E79" s="95">
        <v>0</v>
      </c>
      <c r="H79" s="1332"/>
      <c r="I79" s="1332"/>
      <c r="J79" s="1332"/>
      <c r="K79" s="1332"/>
      <c r="L79" s="1332"/>
      <c r="M79" s="43"/>
      <c r="N79" s="43"/>
      <c r="O79" s="43"/>
      <c r="P79" s="43"/>
    </row>
    <row r="80" spans="1:16" ht="14.25" customHeight="1" x14ac:dyDescent="0.25">
      <c r="A80" s="726" t="b">
        <f t="shared" si="5"/>
        <v>1</v>
      </c>
      <c r="B80" s="206">
        <f t="shared" si="4"/>
        <v>0</v>
      </c>
      <c r="C80" s="97" t="s">
        <v>118</v>
      </c>
      <c r="D80" s="876"/>
      <c r="E80" s="661"/>
      <c r="H80" s="92"/>
      <c r="I80" s="43"/>
      <c r="J80" s="43"/>
      <c r="K80" s="43"/>
      <c r="L80" s="43"/>
      <c r="M80" s="43"/>
      <c r="N80" s="43"/>
      <c r="O80" s="43"/>
      <c r="P80" s="43"/>
    </row>
    <row r="81" spans="1:16" ht="15" customHeight="1" x14ac:dyDescent="0.25">
      <c r="A81" s="54" t="b">
        <f t="shared" si="5"/>
        <v>1</v>
      </c>
      <c r="B81" s="206">
        <f t="shared" si="4"/>
        <v>0</v>
      </c>
      <c r="C81" s="90"/>
      <c r="D81" s="411"/>
      <c r="E81" s="95">
        <v>0</v>
      </c>
      <c r="H81" s="1373" t="s">
        <v>120</v>
      </c>
      <c r="I81" s="1374"/>
      <c r="J81" s="1374"/>
      <c r="K81" s="1374"/>
      <c r="L81" s="1375"/>
      <c r="M81" s="43"/>
      <c r="N81" s="43"/>
      <c r="O81" s="43"/>
      <c r="P81" s="43"/>
    </row>
    <row r="82" spans="1:16" ht="15" customHeight="1" x14ac:dyDescent="0.25">
      <c r="A82" s="54" t="b">
        <f t="shared" si="5"/>
        <v>1</v>
      </c>
      <c r="B82" s="206">
        <f t="shared" si="4"/>
        <v>0</v>
      </c>
      <c r="C82" s="90"/>
      <c r="D82" s="411"/>
      <c r="E82" s="95">
        <v>0</v>
      </c>
      <c r="H82" s="1376"/>
      <c r="I82" s="1377"/>
      <c r="J82" s="1377"/>
      <c r="K82" s="1377"/>
      <c r="L82" s="1378"/>
      <c r="M82" s="43"/>
      <c r="N82" s="43"/>
      <c r="O82" s="43"/>
      <c r="P82" s="43"/>
    </row>
    <row r="83" spans="1:16" ht="15" customHeight="1" x14ac:dyDescent="0.25">
      <c r="A83" s="54" t="b">
        <f t="shared" si="5"/>
        <v>1</v>
      </c>
      <c r="B83" s="206">
        <f t="shared" si="4"/>
        <v>0</v>
      </c>
      <c r="C83" s="90"/>
      <c r="D83" s="411"/>
      <c r="E83" s="95">
        <v>0</v>
      </c>
      <c r="H83" s="92"/>
      <c r="I83" s="43"/>
      <c r="J83" s="43"/>
      <c r="K83" s="43"/>
      <c r="L83" s="43"/>
      <c r="M83" s="43"/>
      <c r="N83" s="43"/>
      <c r="O83" s="43"/>
      <c r="P83" s="43"/>
    </row>
    <row r="84" spans="1:16" ht="15" customHeight="1" x14ac:dyDescent="0.25">
      <c r="A84" s="54"/>
      <c r="B84" s="206"/>
      <c r="C84" s="90"/>
      <c r="D84" s="411"/>
      <c r="E84" s="95">
        <v>0</v>
      </c>
      <c r="M84" s="43"/>
      <c r="N84" s="43"/>
      <c r="O84" s="43"/>
      <c r="P84" s="43"/>
    </row>
    <row r="85" spans="1:16" ht="15" customHeight="1" x14ac:dyDescent="0.25">
      <c r="A85" s="54"/>
      <c r="B85" s="206"/>
      <c r="C85" s="90"/>
      <c r="D85" s="411"/>
      <c r="E85" s="95">
        <v>0</v>
      </c>
      <c r="M85" s="43"/>
      <c r="N85" s="43"/>
      <c r="O85" s="43"/>
      <c r="P85" s="43"/>
    </row>
    <row r="86" spans="1:16" ht="15" customHeight="1" x14ac:dyDescent="0.25">
      <c r="A86" s="54"/>
      <c r="B86" s="206"/>
      <c r="C86" s="90"/>
      <c r="D86" s="411"/>
      <c r="E86" s="95">
        <v>0</v>
      </c>
      <c r="H86" s="92"/>
      <c r="I86" s="43"/>
      <c r="J86" s="43"/>
      <c r="K86" s="43"/>
      <c r="L86" s="43"/>
      <c r="M86" s="43"/>
      <c r="N86" s="43"/>
      <c r="O86" s="43"/>
      <c r="P86" s="43"/>
    </row>
    <row r="87" spans="1:16" ht="15" customHeight="1" x14ac:dyDescent="0.25">
      <c r="A87" s="54"/>
      <c r="B87" s="206"/>
      <c r="C87" s="90"/>
      <c r="D87" s="411"/>
      <c r="E87" s="95">
        <v>0</v>
      </c>
      <c r="H87" s="31"/>
      <c r="M87" s="43"/>
      <c r="N87" s="43"/>
      <c r="O87" s="43"/>
      <c r="P87" s="43"/>
    </row>
    <row r="88" spans="1:16" ht="15" customHeight="1" thickBot="1" x14ac:dyDescent="0.3">
      <c r="A88" s="54"/>
      <c r="B88" s="206"/>
      <c r="C88" s="90"/>
      <c r="D88" s="411"/>
      <c r="E88" s="95">
        <v>0</v>
      </c>
      <c r="H88" s="31"/>
      <c r="M88" s="43"/>
      <c r="N88" s="43"/>
      <c r="O88" s="43"/>
      <c r="P88" s="43"/>
    </row>
    <row r="89" spans="1:16" ht="15" customHeight="1" x14ac:dyDescent="0.25">
      <c r="A89" s="54"/>
      <c r="B89" s="206"/>
      <c r="C89" s="90"/>
      <c r="D89" s="411"/>
      <c r="E89" s="95">
        <v>0</v>
      </c>
      <c r="H89" s="1490" t="s">
        <v>123</v>
      </c>
      <c r="I89" s="1491"/>
      <c r="J89" s="1491"/>
      <c r="K89" s="1491"/>
      <c r="L89" s="1492"/>
      <c r="M89" s="43"/>
      <c r="N89" s="43"/>
      <c r="O89" s="43"/>
      <c r="P89" s="43"/>
    </row>
    <row r="90" spans="1:16" ht="15" customHeight="1" x14ac:dyDescent="0.25">
      <c r="A90" s="54"/>
      <c r="B90" s="206"/>
      <c r="C90" s="90"/>
      <c r="D90" s="411"/>
      <c r="E90" s="95">
        <v>0</v>
      </c>
      <c r="H90" s="1493"/>
      <c r="I90" s="1494"/>
      <c r="J90" s="1494"/>
      <c r="K90" s="1494"/>
      <c r="L90" s="1495"/>
      <c r="M90" s="43"/>
      <c r="N90" s="43"/>
      <c r="O90" s="43"/>
      <c r="P90" s="43"/>
    </row>
    <row r="91" spans="1:16" ht="15" customHeight="1" thickBot="1" x14ac:dyDescent="0.3">
      <c r="A91" s="54" t="b">
        <f t="shared" si="5"/>
        <v>1</v>
      </c>
      <c r="B91" s="206">
        <f t="shared" si="4"/>
        <v>0</v>
      </c>
      <c r="C91" s="90"/>
      <c r="D91" s="411"/>
      <c r="E91" s="95">
        <v>0</v>
      </c>
      <c r="H91" s="1496"/>
      <c r="I91" s="1497"/>
      <c r="J91" s="1497"/>
      <c r="K91" s="1497"/>
      <c r="L91" s="1498"/>
      <c r="M91" s="43"/>
      <c r="N91" s="43"/>
      <c r="O91" s="43"/>
      <c r="P91" s="43"/>
    </row>
    <row r="92" spans="1:16" ht="15" customHeight="1" x14ac:dyDescent="0.25">
      <c r="A92" s="54"/>
      <c r="B92" s="206"/>
      <c r="C92" s="90"/>
      <c r="D92" s="411"/>
      <c r="E92" s="95">
        <v>0</v>
      </c>
      <c r="H92" s="92"/>
      <c r="I92" s="43"/>
      <c r="J92" s="43"/>
      <c r="K92" s="43"/>
      <c r="L92" s="43"/>
      <c r="M92" s="43"/>
      <c r="N92" s="43"/>
      <c r="O92" s="43"/>
      <c r="P92" s="43"/>
    </row>
    <row r="93" spans="1:16" ht="15" customHeight="1" x14ac:dyDescent="0.25">
      <c r="A93" s="54"/>
      <c r="B93" s="206"/>
      <c r="C93" s="90"/>
      <c r="D93" s="411"/>
      <c r="E93" s="95">
        <v>0</v>
      </c>
      <c r="H93" s="92"/>
      <c r="I93" s="43"/>
      <c r="J93" s="43"/>
      <c r="K93" s="43"/>
      <c r="L93" s="43"/>
      <c r="M93" s="43"/>
      <c r="N93" s="43"/>
      <c r="O93" s="43"/>
      <c r="P93" s="43"/>
    </row>
    <row r="94" spans="1:16" ht="15" customHeight="1" x14ac:dyDescent="0.25">
      <c r="A94" s="54" t="b">
        <f t="shared" ref="A94:A99" si="6">ISBLANK(D94)</f>
        <v>1</v>
      </c>
      <c r="B94" s="206">
        <f t="shared" si="4"/>
        <v>0</v>
      </c>
      <c r="C94" s="90"/>
      <c r="D94" s="411"/>
      <c r="E94" s="95">
        <v>0</v>
      </c>
      <c r="H94" s="92"/>
      <c r="I94" s="43"/>
      <c r="J94" s="43"/>
      <c r="K94" s="43"/>
      <c r="L94" s="43"/>
      <c r="M94" s="43"/>
      <c r="N94" s="43"/>
      <c r="O94" s="43"/>
      <c r="P94" s="43"/>
    </row>
    <row r="95" spans="1:16" ht="15" customHeight="1" x14ac:dyDescent="0.25">
      <c r="A95" s="54" t="b">
        <f t="shared" si="6"/>
        <v>1</v>
      </c>
      <c r="B95" s="206">
        <f t="shared" si="4"/>
        <v>0</v>
      </c>
      <c r="C95" s="90"/>
      <c r="D95" s="411"/>
      <c r="E95" s="95">
        <v>0</v>
      </c>
      <c r="H95" s="92"/>
      <c r="I95" s="43"/>
      <c r="J95" s="43"/>
      <c r="K95" s="43"/>
      <c r="L95" s="43"/>
      <c r="M95" s="43"/>
      <c r="N95" s="43"/>
      <c r="O95" s="43"/>
      <c r="P95" s="43"/>
    </row>
    <row r="96" spans="1:16" ht="15" customHeight="1" x14ac:dyDescent="0.25">
      <c r="A96" s="54" t="b">
        <f t="shared" si="6"/>
        <v>1</v>
      </c>
      <c r="B96" s="206">
        <f t="shared" si="4"/>
        <v>0</v>
      </c>
      <c r="C96" s="90"/>
      <c r="D96" s="411"/>
      <c r="E96" s="95">
        <v>0</v>
      </c>
      <c r="H96" s="92"/>
      <c r="I96" s="43"/>
      <c r="J96" s="43"/>
      <c r="K96" s="43"/>
      <c r="L96" s="43"/>
      <c r="M96" s="43"/>
      <c r="N96" s="43"/>
      <c r="O96" s="43"/>
      <c r="P96" s="43"/>
    </row>
    <row r="97" spans="1:16" ht="15" customHeight="1" x14ac:dyDescent="0.25">
      <c r="A97" s="54" t="b">
        <f t="shared" si="6"/>
        <v>1</v>
      </c>
      <c r="B97" s="206">
        <f t="shared" si="4"/>
        <v>0</v>
      </c>
      <c r="C97" s="90"/>
      <c r="D97" s="411"/>
      <c r="E97" s="95">
        <v>0</v>
      </c>
      <c r="H97" s="92"/>
      <c r="I97" s="43"/>
      <c r="J97" s="43"/>
      <c r="K97" s="43"/>
      <c r="L97" s="43"/>
      <c r="M97" s="43"/>
      <c r="N97" s="43"/>
      <c r="O97" s="43"/>
      <c r="P97" s="43"/>
    </row>
    <row r="98" spans="1:16" ht="15" customHeight="1" x14ac:dyDescent="0.25">
      <c r="A98" s="54" t="b">
        <f t="shared" si="6"/>
        <v>1</v>
      </c>
      <c r="B98" s="206">
        <f t="shared" si="4"/>
        <v>0</v>
      </c>
      <c r="C98" s="90"/>
      <c r="D98" s="411"/>
      <c r="E98" s="95">
        <v>0</v>
      </c>
      <c r="H98" s="92"/>
      <c r="I98" s="43"/>
      <c r="J98" s="43"/>
      <c r="K98" s="43"/>
      <c r="L98" s="43"/>
      <c r="M98" s="43"/>
      <c r="N98" s="43"/>
      <c r="O98" s="43"/>
      <c r="P98" s="43"/>
    </row>
    <row r="99" spans="1:16" ht="15" customHeight="1" thickBot="1" x14ac:dyDescent="0.3">
      <c r="A99" s="54" t="b">
        <f t="shared" si="6"/>
        <v>1</v>
      </c>
      <c r="B99" s="206">
        <f t="shared" si="4"/>
        <v>0</v>
      </c>
      <c r="C99" s="91"/>
      <c r="D99" s="411"/>
      <c r="E99" s="109">
        <v>0</v>
      </c>
      <c r="H99" s="92"/>
      <c r="I99" s="43"/>
      <c r="J99" s="43"/>
      <c r="K99" s="43"/>
      <c r="L99" s="43"/>
      <c r="M99" s="43"/>
      <c r="N99" s="43"/>
      <c r="O99" s="43"/>
      <c r="P99" s="43"/>
    </row>
    <row r="100" spans="1:16" ht="14.25" customHeight="1" thickBot="1" x14ac:dyDescent="0.3">
      <c r="D100" s="1129"/>
      <c r="E100" s="658"/>
      <c r="F100" s="92"/>
      <c r="G100" s="92"/>
      <c r="H100" s="92"/>
      <c r="I100" s="43"/>
      <c r="J100" s="43"/>
      <c r="K100" s="43"/>
      <c r="L100" s="43"/>
      <c r="M100" s="43"/>
      <c r="N100" s="43"/>
      <c r="O100" s="43"/>
      <c r="P100" s="43"/>
    </row>
    <row r="101" spans="1:16" ht="45" customHeight="1" thickBot="1" x14ac:dyDescent="0.3">
      <c r="C101" s="535"/>
      <c r="D101" s="536" t="s">
        <v>124</v>
      </c>
      <c r="E101" s="609"/>
      <c r="F101"/>
      <c r="G101"/>
      <c r="H101" s="1389" t="s">
        <v>125</v>
      </c>
      <c r="I101" s="1390"/>
      <c r="J101" s="1390"/>
      <c r="K101" s="1390"/>
      <c r="L101" s="1391"/>
      <c r="M101" s="43"/>
    </row>
    <row r="102" spans="1:16" ht="15.6" customHeight="1" x14ac:dyDescent="0.25">
      <c r="C102" s="123" t="s">
        <v>126</v>
      </c>
      <c r="D102" s="124"/>
      <c r="E102" s="125"/>
      <c r="F102" s="381"/>
      <c r="G102" s="381"/>
      <c r="H102" s="360"/>
      <c r="I102" s="137" t="s">
        <v>78</v>
      </c>
      <c r="J102" s="137"/>
      <c r="K102" s="137"/>
      <c r="L102" s="138"/>
      <c r="M102" s="43"/>
      <c r="N102" s="43"/>
    </row>
    <row r="103" spans="1:16" ht="15.6" customHeight="1" x14ac:dyDescent="0.25">
      <c r="C103" s="90"/>
      <c r="D103" s="33" t="s">
        <v>127</v>
      </c>
      <c r="E103" s="1239">
        <v>0</v>
      </c>
      <c r="F103" s="238"/>
      <c r="G103" s="238"/>
      <c r="M103" s="43"/>
      <c r="N103" s="43"/>
    </row>
    <row r="104" spans="1:16" ht="15.6" customHeight="1" x14ac:dyDescent="0.25">
      <c r="C104" s="90"/>
      <c r="D104" s="33" t="s">
        <v>128</v>
      </c>
      <c r="E104" s="1239">
        <v>0</v>
      </c>
      <c r="F104" s="238"/>
      <c r="G104" s="238"/>
      <c r="H104" s="1394" t="s">
        <v>129</v>
      </c>
      <c r="I104" s="1380"/>
      <c r="J104" s="1380"/>
      <c r="K104" s="1380"/>
      <c r="L104" s="1381"/>
      <c r="M104" s="43"/>
      <c r="N104" s="43"/>
    </row>
    <row r="105" spans="1:16" ht="15.6" customHeight="1" x14ac:dyDescent="0.25">
      <c r="C105" s="90"/>
      <c r="D105" s="33" t="s">
        <v>130</v>
      </c>
      <c r="E105" s="1239">
        <v>0</v>
      </c>
      <c r="F105" s="238"/>
      <c r="G105" s="238"/>
      <c r="H105" s="1382"/>
      <c r="I105" s="1383"/>
      <c r="J105" s="1383"/>
      <c r="K105" s="1383"/>
      <c r="L105" s="1384"/>
      <c r="M105" s="43"/>
      <c r="N105" s="43"/>
    </row>
    <row r="106" spans="1:16" ht="17.45" customHeight="1" x14ac:dyDescent="0.25">
      <c r="C106" s="90"/>
      <c r="D106" s="33" t="s">
        <v>131</v>
      </c>
      <c r="E106" s="1239">
        <v>0</v>
      </c>
      <c r="F106" s="238"/>
      <c r="G106" s="238"/>
      <c r="H106" s="1392"/>
      <c r="I106" s="1393"/>
      <c r="J106" s="1393"/>
      <c r="K106" s="1393"/>
      <c r="L106" s="1393"/>
      <c r="M106" s="43"/>
      <c r="N106" s="43"/>
    </row>
    <row r="107" spans="1:16" ht="15.6" customHeight="1" x14ac:dyDescent="0.25">
      <c r="C107" s="90"/>
      <c r="D107" s="33" t="s">
        <v>132</v>
      </c>
      <c r="E107" s="1239">
        <v>0</v>
      </c>
      <c r="F107" s="238"/>
      <c r="G107" s="238"/>
      <c r="H107" s="423" t="s">
        <v>133</v>
      </c>
      <c r="I107" s="318"/>
      <c r="J107" s="424"/>
      <c r="K107" s="425"/>
      <c r="L107" s="415"/>
      <c r="M107" s="43"/>
      <c r="N107" s="43"/>
    </row>
    <row r="108" spans="1:16" ht="15.6" customHeight="1" x14ac:dyDescent="0.25">
      <c r="C108" s="90"/>
      <c r="D108" s="33" t="s">
        <v>134</v>
      </c>
      <c r="E108" s="110">
        <v>0</v>
      </c>
      <c r="F108" s="238"/>
      <c r="G108" s="238"/>
      <c r="H108" s="426"/>
      <c r="I108" s="31" t="s">
        <v>135</v>
      </c>
      <c r="J108" s="84"/>
      <c r="L108" s="417"/>
      <c r="M108" s="43"/>
      <c r="N108" s="43"/>
    </row>
    <row r="109" spans="1:16" ht="15.6" customHeight="1" x14ac:dyDescent="0.25">
      <c r="C109" s="90"/>
      <c r="D109" s="113" t="s">
        <v>136</v>
      </c>
      <c r="E109" s="110">
        <v>0</v>
      </c>
      <c r="F109" s="238"/>
      <c r="G109" s="238"/>
      <c r="H109" s="426"/>
      <c r="I109" s="31" t="s">
        <v>137</v>
      </c>
      <c r="J109" s="84"/>
      <c r="L109" s="417"/>
      <c r="M109" s="43"/>
      <c r="N109" s="43"/>
    </row>
    <row r="110" spans="1:16" ht="15.6" customHeight="1" thickBot="1" x14ac:dyDescent="0.3">
      <c r="B110" s="1265"/>
      <c r="C110" s="90"/>
      <c r="D110" s="103" t="s">
        <v>138</v>
      </c>
      <c r="E110" s="110">
        <v>0</v>
      </c>
      <c r="F110" s="238"/>
      <c r="G110" s="238"/>
      <c r="H110" s="427"/>
      <c r="I110" s="1395" t="s">
        <v>139</v>
      </c>
      <c r="J110" s="1377"/>
      <c r="K110" s="1377"/>
      <c r="L110" s="1378"/>
      <c r="M110" s="43"/>
      <c r="N110" s="43"/>
    </row>
    <row r="111" spans="1:16" ht="26.25" customHeight="1" thickBot="1" x14ac:dyDescent="0.3">
      <c r="B111" s="1266"/>
      <c r="C111" s="785"/>
      <c r="D111" s="786" t="s">
        <v>140</v>
      </c>
      <c r="E111" s="784"/>
      <c r="F111" s="238"/>
      <c r="G111" s="238"/>
      <c r="J111"/>
      <c r="K111"/>
      <c r="L111"/>
      <c r="M111" s="43"/>
      <c r="N111" s="43"/>
    </row>
    <row r="112" spans="1:16" ht="15.6" customHeight="1" x14ac:dyDescent="0.25">
      <c r="B112" s="1267"/>
      <c r="C112" s="123" t="s">
        <v>141</v>
      </c>
      <c r="D112" s="124"/>
      <c r="E112" s="125"/>
      <c r="F112" s="381"/>
      <c r="G112" s="381"/>
      <c r="H112" s="796" t="s">
        <v>142</v>
      </c>
      <c r="I112" s="797"/>
      <c r="J112" s="798"/>
      <c r="M112" s="43"/>
      <c r="N112" s="43"/>
      <c r="O112" s="43"/>
      <c r="P112" s="43"/>
    </row>
    <row r="113" spans="2:16" ht="15.6" customHeight="1" x14ac:dyDescent="0.25">
      <c r="B113" s="1267"/>
      <c r="C113" s="347"/>
      <c r="D113" s="540" t="s">
        <v>143</v>
      </c>
      <c r="E113" s="126" t="s">
        <v>51</v>
      </c>
      <c r="F113" s="381"/>
      <c r="G113" s="381"/>
      <c r="H113" s="1388" t="s">
        <v>144</v>
      </c>
      <c r="I113" s="1386"/>
      <c r="J113" s="1386"/>
      <c r="K113" s="1386"/>
      <c r="L113" s="1387"/>
      <c r="M113" s="43"/>
      <c r="N113" s="43"/>
      <c r="O113" s="43"/>
      <c r="P113" s="43"/>
    </row>
    <row r="114" spans="2:16" ht="15.6" customHeight="1" x14ac:dyDescent="0.25">
      <c r="B114" s="1267"/>
      <c r="C114" s="90"/>
      <c r="D114" s="33" t="s">
        <v>145</v>
      </c>
      <c r="E114" s="110">
        <v>0</v>
      </c>
      <c r="F114" s="381"/>
      <c r="G114" s="381"/>
      <c r="M114" s="43"/>
      <c r="N114" s="43"/>
      <c r="O114" s="43"/>
      <c r="P114" s="43"/>
    </row>
    <row r="115" spans="2:16" ht="15.6" customHeight="1" x14ac:dyDescent="0.25">
      <c r="B115" s="1267"/>
      <c r="C115" s="90"/>
      <c r="D115" s="33" t="s">
        <v>146</v>
      </c>
      <c r="E115" s="110">
        <v>0</v>
      </c>
      <c r="F115" s="238"/>
      <c r="G115" s="238"/>
      <c r="M115" s="43"/>
      <c r="N115" s="43"/>
      <c r="O115" s="43"/>
      <c r="P115" s="43"/>
    </row>
    <row r="116" spans="2:16" ht="15.6" customHeight="1" thickBot="1" x14ac:dyDescent="0.3">
      <c r="B116" s="1267"/>
      <c r="C116" s="90"/>
      <c r="D116" s="103" t="s">
        <v>147</v>
      </c>
      <c r="E116" s="111">
        <v>0</v>
      </c>
      <c r="F116" s="238"/>
      <c r="G116" s="238"/>
      <c r="M116" s="43"/>
      <c r="N116" s="43"/>
      <c r="O116" s="43"/>
      <c r="P116" s="43"/>
    </row>
    <row r="117" spans="2:16" ht="15.6" customHeight="1" x14ac:dyDescent="0.25">
      <c r="B117" s="1267"/>
      <c r="C117" s="123" t="s">
        <v>148</v>
      </c>
      <c r="D117" s="124"/>
      <c r="E117" s="125"/>
      <c r="F117" s="381"/>
      <c r="G117" s="381"/>
      <c r="H117" s="796" t="s">
        <v>149</v>
      </c>
      <c r="I117" s="797"/>
      <c r="J117" s="798"/>
      <c r="M117" s="43"/>
      <c r="N117" s="43"/>
      <c r="O117" s="43"/>
      <c r="P117" s="43"/>
    </row>
    <row r="118" spans="2:16" ht="15.6" customHeight="1" x14ac:dyDescent="0.25">
      <c r="B118" s="1267"/>
      <c r="C118" s="347"/>
      <c r="D118" s="540" t="s">
        <v>143</v>
      </c>
      <c r="E118" s="126" t="s">
        <v>51</v>
      </c>
      <c r="F118" s="381"/>
      <c r="G118" s="381"/>
      <c r="H118" s="1388" t="s">
        <v>150</v>
      </c>
      <c r="I118" s="1386"/>
      <c r="J118" s="1386"/>
      <c r="K118" s="1386"/>
      <c r="L118" s="1387"/>
      <c r="M118" s="43"/>
      <c r="N118" s="43"/>
      <c r="O118" s="43"/>
      <c r="P118" s="43"/>
    </row>
    <row r="119" spans="2:16" ht="15.6" customHeight="1" x14ac:dyDescent="0.25">
      <c r="B119" s="1267"/>
      <c r="C119" s="90"/>
      <c r="D119" s="33" t="s">
        <v>151</v>
      </c>
      <c r="E119" s="110">
        <v>0</v>
      </c>
      <c r="F119" s="381"/>
      <c r="G119" s="381"/>
      <c r="H119" s="31"/>
      <c r="I119" s="102"/>
      <c r="J119" s="84"/>
      <c r="L119" s="43"/>
      <c r="M119" s="43"/>
      <c r="N119" s="43"/>
      <c r="O119" s="43"/>
      <c r="P119" s="43"/>
    </row>
    <row r="120" spans="2:16" ht="15.6" customHeight="1" x14ac:dyDescent="0.25">
      <c r="B120" s="1267"/>
      <c r="C120" s="90"/>
      <c r="D120" s="33" t="s">
        <v>146</v>
      </c>
      <c r="E120" s="110">
        <v>0</v>
      </c>
      <c r="F120" s="238"/>
      <c r="G120" s="238"/>
      <c r="H120" s="93"/>
      <c r="I120" s="102"/>
      <c r="J120" s="84"/>
      <c r="L120" s="43"/>
      <c r="M120" s="43"/>
      <c r="N120" s="43"/>
      <c r="O120" s="43"/>
      <c r="P120" s="43"/>
    </row>
    <row r="121" spans="2:16" ht="15.6" customHeight="1" thickBot="1" x14ac:dyDescent="0.3">
      <c r="B121" s="1267"/>
      <c r="C121" s="90"/>
      <c r="D121" s="103" t="s">
        <v>152</v>
      </c>
      <c r="E121" s="111">
        <v>0</v>
      </c>
      <c r="F121" s="238"/>
      <c r="G121" s="238"/>
      <c r="H121" s="93"/>
      <c r="I121" s="102"/>
      <c r="J121" s="84"/>
      <c r="L121" s="43"/>
      <c r="M121" s="43"/>
      <c r="N121" s="43"/>
      <c r="O121" s="43"/>
      <c r="P121" s="43"/>
    </row>
    <row r="122" spans="2:16" ht="15" customHeight="1" x14ac:dyDescent="0.25">
      <c r="B122" s="1267"/>
      <c r="C122" s="123" t="s">
        <v>153</v>
      </c>
      <c r="D122" s="124"/>
      <c r="E122" s="125"/>
      <c r="F122" s="381"/>
      <c r="G122" s="381"/>
      <c r="H122" s="796" t="s">
        <v>154</v>
      </c>
      <c r="I122" s="797"/>
      <c r="J122" s="798"/>
      <c r="M122" s="43"/>
      <c r="N122" s="43"/>
      <c r="O122" s="43"/>
      <c r="P122" s="43"/>
    </row>
    <row r="123" spans="2:16" ht="15" customHeight="1" x14ac:dyDescent="0.25">
      <c r="B123" s="1267"/>
      <c r="C123" s="347"/>
      <c r="D123" s="540" t="s">
        <v>143</v>
      </c>
      <c r="E123" s="126" t="s">
        <v>38</v>
      </c>
      <c r="F123" s="381"/>
      <c r="G123" s="381"/>
      <c r="H123" s="1388" t="s">
        <v>155</v>
      </c>
      <c r="I123" s="1386"/>
      <c r="J123" s="1386"/>
      <c r="K123" s="1386"/>
      <c r="L123" s="1387"/>
      <c r="M123" s="43"/>
      <c r="N123" s="43"/>
      <c r="O123" s="43"/>
      <c r="P123" s="43"/>
    </row>
    <row r="124" spans="2:16" ht="15" customHeight="1" x14ac:dyDescent="0.25">
      <c r="B124" s="1267"/>
      <c r="C124" s="90"/>
      <c r="D124" s="33" t="s">
        <v>156</v>
      </c>
      <c r="E124" s="110">
        <v>0</v>
      </c>
      <c r="F124" s="381"/>
      <c r="G124" s="381"/>
      <c r="H124" s="92"/>
      <c r="I124" s="102"/>
      <c r="J124" s="84"/>
      <c r="L124" s="43"/>
      <c r="M124" s="43"/>
      <c r="N124" s="43"/>
      <c r="O124" s="43"/>
      <c r="P124" s="43"/>
    </row>
    <row r="125" spans="2:16" ht="15" customHeight="1" x14ac:dyDescent="0.25">
      <c r="B125" s="1267"/>
      <c r="C125" s="90"/>
      <c r="D125" s="33" t="s">
        <v>157</v>
      </c>
      <c r="E125" s="110">
        <v>0</v>
      </c>
      <c r="F125" s="238"/>
      <c r="G125" s="238"/>
      <c r="H125" s="92"/>
      <c r="I125" s="102"/>
      <c r="J125" s="84"/>
      <c r="L125" s="43"/>
      <c r="M125" s="43"/>
      <c r="N125" s="43"/>
      <c r="O125" s="43"/>
      <c r="P125" s="43"/>
    </row>
    <row r="126" spans="2:16" ht="15" customHeight="1" x14ac:dyDescent="0.25">
      <c r="B126" s="1267"/>
      <c r="C126" s="90"/>
      <c r="D126" s="317" t="s">
        <v>152</v>
      </c>
      <c r="E126" s="110">
        <v>0</v>
      </c>
      <c r="F126" s="238"/>
      <c r="G126" s="238"/>
      <c r="H126" s="92"/>
      <c r="I126" s="102"/>
      <c r="J126" s="84"/>
      <c r="L126" s="43"/>
      <c r="M126" s="43"/>
      <c r="N126" s="43"/>
      <c r="O126" s="43"/>
      <c r="P126" s="43"/>
    </row>
    <row r="127" spans="2:16" ht="15" customHeight="1" thickBot="1" x14ac:dyDescent="0.3">
      <c r="B127" s="1267"/>
      <c r="C127" s="91"/>
      <c r="D127" s="543" t="s">
        <v>158</v>
      </c>
      <c r="E127" s="1240" t="str">
        <f>IFERROR(E125/E124,"-")</f>
        <v>-</v>
      </c>
      <c r="F127" s="382"/>
      <c r="G127" s="382"/>
      <c r="J127" s="84"/>
      <c r="L127" s="43"/>
      <c r="M127" s="43"/>
      <c r="N127" s="43"/>
      <c r="O127" s="43"/>
      <c r="P127" s="43"/>
    </row>
    <row r="128" spans="2:16" ht="15" customHeight="1" x14ac:dyDescent="0.25">
      <c r="B128" s="1267"/>
      <c r="C128" s="123" t="s">
        <v>159</v>
      </c>
      <c r="D128" s="124"/>
      <c r="E128" s="125"/>
      <c r="F128" s="382"/>
      <c r="G128" s="382"/>
      <c r="H128" s="796" t="s">
        <v>160</v>
      </c>
      <c r="I128" s="97"/>
      <c r="J128" s="799"/>
      <c r="M128" s="43"/>
      <c r="N128" s="43"/>
      <c r="O128" s="43"/>
      <c r="P128" s="43"/>
    </row>
    <row r="129" spans="1:16" ht="15" customHeight="1" x14ac:dyDescent="0.25">
      <c r="B129" s="1267"/>
      <c r="C129" s="347"/>
      <c r="D129" s="540" t="s">
        <v>143</v>
      </c>
      <c r="E129" s="126" t="s">
        <v>51</v>
      </c>
      <c r="F129" s="382"/>
      <c r="G129" s="382"/>
      <c r="H129" s="1385" t="s">
        <v>161</v>
      </c>
      <c r="I129" s="1377"/>
      <c r="J129" s="1377"/>
      <c r="K129" s="1386"/>
      <c r="L129" s="1387"/>
      <c r="M129" s="43"/>
      <c r="N129" s="43"/>
      <c r="O129" s="43"/>
      <c r="P129" s="43"/>
    </row>
    <row r="130" spans="1:16" ht="15" customHeight="1" thickBot="1" x14ac:dyDescent="0.3">
      <c r="B130" s="1268"/>
      <c r="C130" s="91"/>
      <c r="D130" s="103" t="s">
        <v>162</v>
      </c>
      <c r="E130" s="111">
        <v>0</v>
      </c>
      <c r="H130" s="92"/>
      <c r="I130" s="102"/>
      <c r="J130" s="84"/>
      <c r="L130" s="43"/>
      <c r="M130" s="43"/>
      <c r="N130" s="43"/>
      <c r="O130" s="43"/>
      <c r="P130" s="43"/>
    </row>
    <row r="131" spans="1:16" ht="15" customHeight="1" thickBot="1" x14ac:dyDescent="0.3">
      <c r="D131"/>
      <c r="H131" s="92"/>
      <c r="I131" s="102"/>
      <c r="J131" s="84"/>
      <c r="L131" s="43"/>
      <c r="M131" s="43"/>
      <c r="N131" s="43"/>
      <c r="O131" s="43"/>
      <c r="P131" s="43"/>
    </row>
    <row r="132" spans="1:16" ht="48" customHeight="1" thickBot="1" x14ac:dyDescent="0.3">
      <c r="C132" s="538"/>
      <c r="D132" s="647" t="s">
        <v>163</v>
      </c>
      <c r="E132" s="539"/>
      <c r="F132"/>
      <c r="G132"/>
      <c r="H132" s="1389" t="s">
        <v>164</v>
      </c>
      <c r="I132" s="1390"/>
      <c r="J132" s="1390"/>
      <c r="K132" s="1390"/>
      <c r="L132" s="1391"/>
    </row>
    <row r="133" spans="1:16" s="554" customFormat="1" ht="19.149999999999999" customHeight="1" x14ac:dyDescent="0.25">
      <c r="A133" s="549"/>
      <c r="B133" s="549"/>
      <c r="C133" s="550" t="s">
        <v>165</v>
      </c>
      <c r="D133" s="551"/>
      <c r="E133" s="552"/>
      <c r="F133" s="553"/>
      <c r="G133" s="553"/>
      <c r="H133" s="796" t="s">
        <v>166</v>
      </c>
      <c r="I133" s="797"/>
      <c r="J133" s="798"/>
      <c r="K133" s="31"/>
      <c r="L133" s="31"/>
    </row>
    <row r="134" spans="1:16" s="554" customFormat="1" ht="117" customHeight="1" x14ac:dyDescent="0.25">
      <c r="A134" s="549"/>
      <c r="B134" s="549"/>
      <c r="C134" s="347"/>
      <c r="D134" s="860" t="s">
        <v>167</v>
      </c>
      <c r="E134" s="128" t="s">
        <v>38</v>
      </c>
      <c r="F134" s="381"/>
      <c r="G134" s="381"/>
      <c r="H134" s="1351" t="s">
        <v>168</v>
      </c>
      <c r="I134" s="1352"/>
      <c r="J134" s="1352"/>
      <c r="K134" s="1352"/>
      <c r="L134" s="1353"/>
    </row>
    <row r="135" spans="1:16" ht="15" customHeight="1" thickBot="1" x14ac:dyDescent="0.3">
      <c r="C135" s="90"/>
      <c r="D135" s="648" t="s">
        <v>169</v>
      </c>
      <c r="E135" s="109">
        <v>0</v>
      </c>
      <c r="F135" s="92"/>
      <c r="G135" s="92"/>
      <c r="H135" s="917" t="s">
        <v>170</v>
      </c>
      <c r="I135" s="877"/>
      <c r="J135" s="878"/>
    </row>
    <row r="136" spans="1:16" ht="19.149999999999999" customHeight="1" x14ac:dyDescent="0.25">
      <c r="C136" s="123" t="s">
        <v>171</v>
      </c>
      <c r="D136" s="124"/>
      <c r="E136" s="125"/>
      <c r="F136" s="381"/>
      <c r="G136" s="381"/>
      <c r="H136" s="796" t="s">
        <v>172</v>
      </c>
      <c r="I136" s="797"/>
      <c r="J136" s="798"/>
      <c r="K136" s="381"/>
    </row>
    <row r="137" spans="1:16" ht="30.75" customHeight="1" x14ac:dyDescent="0.25">
      <c r="C137" s="347"/>
      <c r="D137" s="637" t="s">
        <v>173</v>
      </c>
      <c r="E137" s="128" t="s">
        <v>38</v>
      </c>
      <c r="F137" s="381"/>
      <c r="G137" s="381"/>
      <c r="H137" s="1425"/>
      <c r="I137" s="1425"/>
      <c r="J137" s="1425"/>
      <c r="K137" s="1425"/>
      <c r="L137" s="1425"/>
    </row>
    <row r="138" spans="1:16" ht="16.5" thickBot="1" x14ac:dyDescent="0.3">
      <c r="C138" s="90"/>
      <c r="D138" s="121" t="s">
        <v>174</v>
      </c>
      <c r="E138" s="127">
        <f>'CALCUL - SCP'!B18</f>
        <v>0</v>
      </c>
      <c r="F138" s="383"/>
      <c r="G138" s="383"/>
      <c r="H138" s="603" t="s">
        <v>175</v>
      </c>
      <c r="I138" s="615"/>
      <c r="J138" s="598"/>
      <c r="K138" s="598"/>
      <c r="L138" s="67"/>
    </row>
    <row r="139" spans="1:16" ht="19.149999999999999" customHeight="1" x14ac:dyDescent="0.25">
      <c r="C139" s="123" t="s">
        <v>176</v>
      </c>
      <c r="D139" s="124"/>
      <c r="E139" s="125"/>
      <c r="F139" s="381"/>
      <c r="G139" s="381"/>
      <c r="H139" s="879" t="s">
        <v>177</v>
      </c>
      <c r="I139" s="880"/>
      <c r="J139" s="880"/>
      <c r="K139" s="918"/>
    </row>
    <row r="140" spans="1:16" ht="13.15" customHeight="1" x14ac:dyDescent="0.25">
      <c r="C140" s="347"/>
      <c r="D140" s="540" t="s">
        <v>178</v>
      </c>
      <c r="E140" s="126" t="s">
        <v>51</v>
      </c>
      <c r="F140" s="383"/>
      <c r="G140" s="383"/>
      <c r="H140" s="421"/>
      <c r="I140" s="533"/>
      <c r="J140"/>
      <c r="K140"/>
      <c r="L140"/>
    </row>
    <row r="141" spans="1:16" ht="13.15" customHeight="1" x14ac:dyDescent="0.25">
      <c r="C141" s="347"/>
      <c r="D141" s="207" t="s">
        <v>179</v>
      </c>
      <c r="E141" s="126" t="s">
        <v>51</v>
      </c>
      <c r="F141" s="383"/>
      <c r="G141" s="383"/>
      <c r="H141" s="207" t="s">
        <v>180</v>
      </c>
      <c r="I141" s="617"/>
      <c r="J141" s="598"/>
      <c r="K141" s="598"/>
      <c r="L141" s="67"/>
    </row>
    <row r="142" spans="1:16" ht="13.15" customHeight="1" thickBot="1" x14ac:dyDescent="0.3">
      <c r="C142" s="90"/>
      <c r="D142" s="207" t="s">
        <v>181</v>
      </c>
      <c r="E142" s="126" t="s">
        <v>182</v>
      </c>
      <c r="F142" s="383"/>
      <c r="G142" s="383"/>
      <c r="H142" s="533"/>
      <c r="I142" s="533"/>
      <c r="J142"/>
      <c r="K142"/>
      <c r="L142"/>
    </row>
    <row r="143" spans="1:16" ht="48" customHeight="1" thickBot="1" x14ac:dyDescent="0.3">
      <c r="C143" s="694"/>
      <c r="D143" s="688" t="s">
        <v>183</v>
      </c>
      <c r="E143" s="537"/>
      <c r="F143"/>
      <c r="G143"/>
      <c r="H143" s="421"/>
      <c r="I143" s="644"/>
      <c r="J143" s="331"/>
      <c r="K143" s="331"/>
      <c r="L143"/>
    </row>
    <row r="144" spans="1:16" ht="28.15" customHeight="1" thickBot="1" x14ac:dyDescent="0.3">
      <c r="B144" s="1269"/>
      <c r="C144" s="709"/>
      <c r="D144" s="787" t="s">
        <v>184</v>
      </c>
      <c r="E144" s="689"/>
      <c r="F144" s="690"/>
      <c r="G144" s="43"/>
      <c r="H144" s="636" t="s">
        <v>185</v>
      </c>
      <c r="I144" s="421"/>
      <c r="J144" s="421"/>
      <c r="K144" s="421"/>
      <c r="L144" s="612"/>
      <c r="M144" s="440"/>
    </row>
    <row r="145" spans="1:13" ht="15" x14ac:dyDescent="0.25">
      <c r="A145" s="695"/>
      <c r="B145" s="1270"/>
      <c r="C145" s="708"/>
      <c r="D145" s="858" t="s">
        <v>186</v>
      </c>
      <c r="E145" s="713">
        <f>'CALCUL - MAEC TENHERBEE'!B8</f>
        <v>0</v>
      </c>
      <c r="F145" s="690"/>
      <c r="G145" s="43"/>
      <c r="H145" s="613"/>
      <c r="I145" s="613"/>
      <c r="J145" s="613"/>
      <c r="K145" s="613"/>
      <c r="L145" s="613"/>
    </row>
    <row r="146" spans="1:13" ht="43.5" customHeight="1" thickBot="1" x14ac:dyDescent="0.3">
      <c r="B146" s="1271"/>
      <c r="C146" s="693"/>
      <c r="D146" s="638" t="s">
        <v>187</v>
      </c>
      <c r="E146" s="692" t="str">
        <f>IFERROR('CALCUL - MAEC TENHERBEE'!B8/'CALCUL - MAEC TENHERBEE'!B9,"-")</f>
        <v>-</v>
      </c>
      <c r="F146" s="691"/>
      <c r="G146" s="635"/>
      <c r="H146" s="1422" t="s">
        <v>188</v>
      </c>
      <c r="I146" s="1423"/>
      <c r="J146" s="1423"/>
      <c r="K146" s="1423"/>
      <c r="L146" s="1424"/>
    </row>
    <row r="147" spans="1:13" ht="19.149999999999999" customHeight="1" x14ac:dyDescent="0.25">
      <c r="B147" s="1271"/>
      <c r="C147" s="139" t="s">
        <v>189</v>
      </c>
      <c r="D147" s="237"/>
      <c r="E147" s="696"/>
      <c r="F147" s="697"/>
      <c r="G147" s="381"/>
      <c r="H147" s="796" t="s">
        <v>190</v>
      </c>
      <c r="I147" s="797"/>
      <c r="J147" s="798"/>
      <c r="K147" s="794"/>
    </row>
    <row r="148" spans="1:13" ht="15" x14ac:dyDescent="0.25">
      <c r="B148" s="1271"/>
      <c r="C148" s="93"/>
      <c r="D148" s="544" t="s">
        <v>191</v>
      </c>
      <c r="E148" s="1063" t="str">
        <f>IF(E149&gt;0,"OUI","NON")</f>
        <v>NON</v>
      </c>
      <c r="F148" s="697"/>
      <c r="G148" s="381"/>
      <c r="H148" s="1296" t="s">
        <v>192</v>
      </c>
      <c r="I148" s="1297"/>
      <c r="J148" s="1297"/>
      <c r="K148" s="1297"/>
      <c r="L148" s="1299"/>
    </row>
    <row r="149" spans="1:13" ht="14.25" customHeight="1" x14ac:dyDescent="0.25">
      <c r="B149" s="1271"/>
      <c r="C149" s="705"/>
      <c r="D149" s="104" t="s">
        <v>193</v>
      </c>
      <c r="E149" s="1062">
        <f>E78</f>
        <v>0</v>
      </c>
      <c r="F149" s="697"/>
      <c r="G149" s="381"/>
      <c r="H149" s="1398" t="s">
        <v>194</v>
      </c>
      <c r="I149" s="1399"/>
      <c r="J149" s="1399"/>
      <c r="K149" s="1399"/>
      <c r="L149" s="1400"/>
    </row>
    <row r="150" spans="1:13" ht="28.9" customHeight="1" x14ac:dyDescent="0.25">
      <c r="B150" s="1271"/>
      <c r="C150" s="706"/>
      <c r="D150" s="104" t="s">
        <v>195</v>
      </c>
      <c r="E150" s="698">
        <v>0</v>
      </c>
      <c r="F150" s="699"/>
      <c r="G150" s="238"/>
    </row>
    <row r="151" spans="1:13" ht="15.6" customHeight="1" x14ac:dyDescent="0.25">
      <c r="A151" s="695"/>
      <c r="B151" s="1270"/>
      <c r="C151" s="706"/>
      <c r="D151" s="122" t="s">
        <v>196</v>
      </c>
      <c r="E151" s="700">
        <f>IF(E148="NON",0,E149)</f>
        <v>0</v>
      </c>
      <c r="F151" s="701"/>
      <c r="G151" s="385"/>
      <c r="H151" s="1438" t="s">
        <v>197</v>
      </c>
      <c r="I151" s="1438"/>
      <c r="J151" s="1438"/>
      <c r="K151" s="1438"/>
      <c r="L151" s="1438"/>
    </row>
    <row r="152" spans="1:13" ht="15.6" customHeight="1" x14ac:dyDescent="0.25">
      <c r="B152" s="1272"/>
      <c r="C152" s="706"/>
      <c r="D152" s="105" t="s">
        <v>198</v>
      </c>
      <c r="E152" s="702">
        <f>IF(E150&gt;0,E150,0)</f>
        <v>0</v>
      </c>
      <c r="F152" s="703"/>
      <c r="G152" s="384"/>
      <c r="H152" s="1339" t="s">
        <v>199</v>
      </c>
      <c r="I152" s="1340"/>
      <c r="J152" s="1340"/>
      <c r="K152" s="1340"/>
      <c r="L152" s="1341"/>
    </row>
    <row r="153" spans="1:13" ht="16.899999999999999" customHeight="1" thickBot="1" x14ac:dyDescent="0.3">
      <c r="B153" s="1271"/>
      <c r="C153" s="707"/>
      <c r="D153" s="105" t="s">
        <v>200</v>
      </c>
      <c r="E153" s="704">
        <f>E151-E152</f>
        <v>0</v>
      </c>
      <c r="F153" s="384"/>
      <c r="G153" s="384"/>
      <c r="H153" s="31"/>
      <c r="I153" s="238"/>
      <c r="M153" s="238"/>
    </row>
    <row r="154" spans="1:13" ht="19.149999999999999" customHeight="1" x14ac:dyDescent="0.25">
      <c r="B154" s="1271"/>
      <c r="C154" s="566" t="s">
        <v>201</v>
      </c>
      <c r="D154" s="124"/>
      <c r="E154" s="566"/>
      <c r="F154" s="697"/>
      <c r="G154" s="381"/>
      <c r="H154" s="796" t="s">
        <v>202</v>
      </c>
      <c r="I154" s="797"/>
      <c r="J154" s="798"/>
      <c r="K154" s="794"/>
    </row>
    <row r="155" spans="1:13" ht="31.9" customHeight="1" x14ac:dyDescent="0.25">
      <c r="A155" s="695"/>
      <c r="B155" s="1270"/>
      <c r="C155" s="723"/>
      <c r="D155" s="544" t="s">
        <v>203</v>
      </c>
      <c r="E155" s="1063" t="str">
        <f>IF(E156&gt;0,"OUI","NON")</f>
        <v>NON</v>
      </c>
      <c r="F155" s="697"/>
      <c r="G155" s="381"/>
      <c r="H155" s="1404" t="s">
        <v>204</v>
      </c>
      <c r="I155" s="1405"/>
      <c r="J155" s="1405"/>
      <c r="K155" s="1405"/>
      <c r="L155" s="1406"/>
    </row>
    <row r="156" spans="1:13" ht="14.45" customHeight="1" x14ac:dyDescent="0.25">
      <c r="A156" s="695"/>
      <c r="B156" s="1271"/>
      <c r="D156" s="104" t="s">
        <v>205</v>
      </c>
      <c r="E156" s="1062">
        <f>E79</f>
        <v>0</v>
      </c>
      <c r="F156" s="710"/>
      <c r="G156" s="238"/>
      <c r="H156" s="1398" t="s">
        <v>206</v>
      </c>
      <c r="I156" s="1399"/>
      <c r="J156" s="1399"/>
      <c r="K156" s="1399"/>
      <c r="L156" s="1400"/>
    </row>
    <row r="157" spans="1:13" ht="30" x14ac:dyDescent="0.25">
      <c r="B157" s="1272"/>
      <c r="C157" s="706"/>
      <c r="D157" s="104" t="s">
        <v>207</v>
      </c>
      <c r="E157" s="711">
        <v>0</v>
      </c>
      <c r="F157" s="238"/>
      <c r="G157" s="238"/>
      <c r="H157" s="31"/>
    </row>
    <row r="158" spans="1:13" ht="16.899999999999999" customHeight="1" x14ac:dyDescent="0.25">
      <c r="B158" s="1272"/>
      <c r="C158" s="706"/>
      <c r="D158" s="122" t="s">
        <v>208</v>
      </c>
      <c r="E158" s="712">
        <f>E156</f>
        <v>0</v>
      </c>
      <c r="F158" s="385"/>
      <c r="G158" s="385"/>
      <c r="H158" s="1438" t="s">
        <v>197</v>
      </c>
      <c r="I158" s="1438"/>
      <c r="J158" s="1438"/>
      <c r="K158" s="1438"/>
      <c r="L158" s="1438"/>
    </row>
    <row r="159" spans="1:13" ht="14.25" customHeight="1" x14ac:dyDescent="0.25">
      <c r="B159" s="1273"/>
      <c r="C159" s="706"/>
      <c r="D159" s="105" t="s">
        <v>209</v>
      </c>
      <c r="E159" s="713">
        <f>E157</f>
        <v>0</v>
      </c>
      <c r="F159" s="384"/>
      <c r="G159" s="384"/>
      <c r="H159" s="1339" t="s">
        <v>199</v>
      </c>
      <c r="I159" s="1340"/>
      <c r="J159" s="1340"/>
      <c r="K159" s="1340"/>
      <c r="L159" s="1341"/>
    </row>
    <row r="160" spans="1:13" ht="16.899999999999999" customHeight="1" thickBot="1" x14ac:dyDescent="0.3">
      <c r="B160" s="1272"/>
      <c r="C160" s="707"/>
      <c r="D160" s="105" t="s">
        <v>210</v>
      </c>
      <c r="E160" s="704">
        <f>E158-E159</f>
        <v>0</v>
      </c>
      <c r="F160" s="384"/>
      <c r="G160" s="384"/>
      <c r="H160" s="31"/>
    </row>
    <row r="161" spans="1:12" ht="19.149999999999999" customHeight="1" x14ac:dyDescent="0.25">
      <c r="B161" s="1272"/>
      <c r="C161" s="724" t="s">
        <v>211</v>
      </c>
      <c r="D161" s="124"/>
      <c r="E161" s="443"/>
      <c r="F161" s="697"/>
      <c r="G161" s="381"/>
      <c r="H161" s="796" t="s">
        <v>212</v>
      </c>
      <c r="I161" s="797"/>
      <c r="J161" s="798"/>
    </row>
    <row r="162" spans="1:12" ht="27.6" customHeight="1" x14ac:dyDescent="0.25">
      <c r="B162" s="1272"/>
      <c r="C162" s="723"/>
      <c r="D162" s="545" t="s">
        <v>213</v>
      </c>
      <c r="E162" s="714" t="s">
        <v>51</v>
      </c>
      <c r="F162" s="381"/>
      <c r="G162" s="381"/>
      <c r="H162" s="1426" t="s">
        <v>214</v>
      </c>
      <c r="I162" s="1427"/>
      <c r="J162" s="1427"/>
      <c r="K162" s="1427"/>
      <c r="L162" s="1428"/>
    </row>
    <row r="163" spans="1:12" ht="14.25" customHeight="1" x14ac:dyDescent="0.25">
      <c r="A163" s="695"/>
      <c r="B163" s="1270"/>
      <c r="C163" s="706"/>
      <c r="D163" s="631" t="s">
        <v>215</v>
      </c>
      <c r="E163" s="715">
        <f>IF(E162="OUI",'CALCUL - MAEC CereP'!B18,0)</f>
        <v>0</v>
      </c>
      <c r="F163" s="716"/>
      <c r="G163" s="383"/>
      <c r="H163" s="1429"/>
      <c r="I163" s="1430"/>
      <c r="J163" s="1430"/>
      <c r="K163" s="1430"/>
      <c r="L163" s="1431"/>
    </row>
    <row r="164" spans="1:12" ht="14.25" customHeight="1" x14ac:dyDescent="0.25">
      <c r="A164" s="695"/>
      <c r="B164" s="1270"/>
      <c r="C164" s="706"/>
      <c r="D164" s="632" t="s">
        <v>216</v>
      </c>
      <c r="E164" s="702">
        <f>SUM('CALCUL - MAEC CereP'!B6:B8)+SUM('CALCUL - MAEC CereP'!B10:B14)</f>
        <v>0</v>
      </c>
      <c r="F164" s="717"/>
      <c r="G164" s="384"/>
      <c r="H164" s="1435" t="s">
        <v>217</v>
      </c>
      <c r="I164" s="1436"/>
      <c r="J164" s="1436"/>
      <c r="K164" s="1436"/>
      <c r="L164" s="1437"/>
    </row>
    <row r="165" spans="1:12" ht="30.75" customHeight="1" x14ac:dyDescent="0.25">
      <c r="A165" s="695"/>
      <c r="B165" s="1270"/>
      <c r="C165" s="706"/>
      <c r="D165" s="633" t="s">
        <v>218</v>
      </c>
      <c r="E165" s="713">
        <f>'CALCUL - MAEC CereP'!B9</f>
        <v>0</v>
      </c>
      <c r="F165" s="618"/>
      <c r="G165" s="384"/>
      <c r="H165" s="31"/>
      <c r="I165"/>
      <c r="J165"/>
      <c r="K165"/>
      <c r="L165"/>
    </row>
    <row r="166" spans="1:12" ht="14.45" customHeight="1" x14ac:dyDescent="0.25">
      <c r="A166" s="695"/>
      <c r="B166" s="1270"/>
      <c r="C166" s="706"/>
      <c r="D166" s="616" t="s">
        <v>219</v>
      </c>
      <c r="E166" s="718">
        <v>0</v>
      </c>
      <c r="F166" s="618"/>
      <c r="G166" s="384"/>
      <c r="H166" s="1439" t="str">
        <f>IF(E166&gt;E163,"Attention, vous avez encodé une valeur supérieure à la superficie potentiellement éligible (calculée ci-dessus)!","Ok, superficie égale ou inférieure à la superficie potentiellement éligible.")</f>
        <v>Ok, superficie égale ou inférieure à la superficie potentiellement éligible.</v>
      </c>
      <c r="I166" s="1386"/>
      <c r="J166" s="1386"/>
      <c r="K166" s="1386"/>
      <c r="L166" s="1387"/>
    </row>
    <row r="167" spans="1:12" ht="36.75" customHeight="1" x14ac:dyDescent="0.25">
      <c r="B167" s="1272"/>
      <c r="C167" s="706"/>
      <c r="D167" s="616" t="s">
        <v>220</v>
      </c>
      <c r="E167" s="719">
        <v>0</v>
      </c>
      <c r="F167" s="717"/>
      <c r="G167" s="384"/>
      <c r="H167" s="1339" t="s">
        <v>199</v>
      </c>
      <c r="I167" s="1340"/>
      <c r="J167" s="1340"/>
      <c r="K167" s="1340"/>
      <c r="L167" s="1341"/>
    </row>
    <row r="168" spans="1:12" ht="16.5" customHeight="1" x14ac:dyDescent="0.25">
      <c r="B168" s="1272"/>
      <c r="C168" s="706"/>
      <c r="D168" s="122" t="s">
        <v>221</v>
      </c>
      <c r="E168" s="702">
        <f>IF(E162="non",0,E164-E166)</f>
        <v>0</v>
      </c>
      <c r="F168" s="720"/>
      <c r="G168" s="384"/>
      <c r="H168" s="31"/>
    </row>
    <row r="169" spans="1:12" ht="16.5" customHeight="1" x14ac:dyDescent="0.25">
      <c r="B169" s="1271"/>
      <c r="D169" s="632" t="s">
        <v>222</v>
      </c>
      <c r="E169" s="721">
        <f>IF(E162="NON",0,E167)</f>
        <v>0</v>
      </c>
      <c r="F169" s="703"/>
      <c r="G169" s="384"/>
      <c r="H169" s="31"/>
    </row>
    <row r="170" spans="1:12" ht="16.5" customHeight="1" thickBot="1" x14ac:dyDescent="0.3">
      <c r="B170" s="1271"/>
      <c r="C170" s="764"/>
      <c r="D170" s="765" t="s">
        <v>223</v>
      </c>
      <c r="E170" s="722">
        <f>IF(E162="OUI",E166-E169,0)</f>
        <v>0</v>
      </c>
      <c r="F170" s="703"/>
      <c r="G170" s="384"/>
      <c r="H170" s="31"/>
    </row>
    <row r="171" spans="1:12" ht="24.75" customHeight="1" thickBot="1" x14ac:dyDescent="0.3">
      <c r="A171" s="766"/>
      <c r="B171" s="1274"/>
      <c r="C171" s="777"/>
      <c r="D171" s="783" t="s">
        <v>224</v>
      </c>
      <c r="E171" s="771"/>
      <c r="F171" s="384"/>
      <c r="G171" s="384"/>
      <c r="H171" s="31"/>
    </row>
    <row r="172" spans="1:12" ht="19.149999999999999" customHeight="1" x14ac:dyDescent="0.25">
      <c r="A172" s="767"/>
      <c r="B172" s="1275"/>
      <c r="C172" s="139" t="s">
        <v>225</v>
      </c>
      <c r="D172" s="770"/>
      <c r="E172" s="772"/>
      <c r="F172" s="381"/>
      <c r="G172" s="381"/>
      <c r="H172" s="796" t="s">
        <v>226</v>
      </c>
      <c r="I172" s="797"/>
      <c r="J172" s="798"/>
      <c r="K172" s="794"/>
    </row>
    <row r="173" spans="1:12" ht="18.600000000000001" customHeight="1" x14ac:dyDescent="0.25">
      <c r="A173" s="767"/>
      <c r="B173" s="1275"/>
      <c r="C173" s="768"/>
      <c r="D173" s="856" t="s">
        <v>227</v>
      </c>
      <c r="E173" s="773" t="s">
        <v>51</v>
      </c>
      <c r="F173" s="381"/>
      <c r="G173" s="381"/>
      <c r="H173" s="1432" t="s">
        <v>228</v>
      </c>
      <c r="I173" s="1433"/>
      <c r="J173" s="1433"/>
      <c r="K173" s="1433"/>
      <c r="L173" s="1434"/>
    </row>
    <row r="174" spans="1:12" ht="27.6" customHeight="1" x14ac:dyDescent="0.25">
      <c r="A174" s="767"/>
      <c r="B174" s="1275"/>
      <c r="C174" s="768"/>
      <c r="D174" s="881" t="s">
        <v>229</v>
      </c>
      <c r="E174" s="774">
        <f>'CALCUL - MAEC AF'!B24</f>
        <v>0</v>
      </c>
      <c r="F174" s="385"/>
      <c r="G174" s="385"/>
    </row>
    <row r="175" spans="1:12" ht="15" customHeight="1" x14ac:dyDescent="0.25">
      <c r="A175" s="767"/>
      <c r="B175" s="1275"/>
      <c r="D175" s="105" t="s">
        <v>230</v>
      </c>
      <c r="E175" s="775">
        <f>'CALCUL - MAEC AF'!B6+'CALCUL - MAEC AF'!B7+'CALCUL - MAEC AF'!B8</f>
        <v>0</v>
      </c>
      <c r="F175" s="384"/>
      <c r="G175" s="384"/>
      <c r="H175" s="31"/>
    </row>
    <row r="176" spans="1:12" ht="14.25" customHeight="1" x14ac:dyDescent="0.25">
      <c r="A176" s="767"/>
      <c r="B176" s="1275"/>
      <c r="D176" s="105" t="s">
        <v>231</v>
      </c>
      <c r="E176" s="775">
        <f>SUM('CALCUL - MAEC AF'!B14:B18)</f>
        <v>0</v>
      </c>
      <c r="F176" s="384"/>
      <c r="G176" s="384"/>
      <c r="H176" s="31"/>
    </row>
    <row r="177" spans="1:12" ht="14.25" customHeight="1" x14ac:dyDescent="0.25">
      <c r="A177" s="767"/>
      <c r="B177" s="1275"/>
      <c r="D177" s="105" t="s">
        <v>232</v>
      </c>
      <c r="E177" s="775">
        <f>'CALCUL - MAEC AF'!B19+'CALCUL - MAEC AF'!B20</f>
        <v>0</v>
      </c>
      <c r="F177" s="384"/>
      <c r="G177" s="384"/>
      <c r="H177" s="31"/>
    </row>
    <row r="178" spans="1:12" ht="14.25" customHeight="1" x14ac:dyDescent="0.25">
      <c r="A178" s="767"/>
      <c r="B178" s="1275"/>
      <c r="D178" s="105" t="s">
        <v>233</v>
      </c>
      <c r="E178" s="775">
        <f>SUM('CALCUL - MAEC AF'!B9:B13)</f>
        <v>0</v>
      </c>
      <c r="F178" s="384"/>
      <c r="G178" s="384"/>
      <c r="H178" s="31"/>
    </row>
    <row r="179" spans="1:12" ht="13.9" customHeight="1" thickBot="1" x14ac:dyDescent="0.3">
      <c r="A179" s="767"/>
      <c r="B179" s="1275"/>
      <c r="C179" s="769"/>
      <c r="D179" s="733" t="s">
        <v>234</v>
      </c>
      <c r="E179" s="776">
        <f>IF(E173="OUI",'CALCUL - MAEC AF'!B47,0)</f>
        <v>0</v>
      </c>
      <c r="F179" s="386"/>
      <c r="G179" s="386"/>
      <c r="H179" s="31"/>
    </row>
    <row r="180" spans="1:12" ht="25.5" customHeight="1" thickTop="1" thickBot="1" x14ac:dyDescent="0.3">
      <c r="A180" s="725"/>
      <c r="B180" s="1276"/>
      <c r="C180" s="781"/>
      <c r="D180" s="782" t="s">
        <v>235</v>
      </c>
      <c r="E180" s="778"/>
      <c r="F180" s="779"/>
      <c r="G180" s="386"/>
      <c r="H180" s="31"/>
    </row>
    <row r="181" spans="1:12" ht="19.149999999999999" customHeight="1" x14ac:dyDescent="0.25">
      <c r="A181" s="725"/>
      <c r="B181" s="1277"/>
      <c r="C181" s="780" t="s">
        <v>236</v>
      </c>
      <c r="D181" s="736"/>
      <c r="E181" s="727"/>
      <c r="F181" s="386"/>
      <c r="G181" s="386"/>
      <c r="H181" s="796" t="s">
        <v>237</v>
      </c>
      <c r="I181" s="797"/>
      <c r="J181" s="798"/>
      <c r="K181" s="795"/>
    </row>
    <row r="182" spans="1:12" ht="30" x14ac:dyDescent="0.25">
      <c r="A182" s="725"/>
      <c r="B182" s="1277"/>
      <c r="C182" s="93"/>
      <c r="D182" s="857" t="s">
        <v>238</v>
      </c>
      <c r="E182" s="738" t="s">
        <v>51</v>
      </c>
      <c r="F182"/>
      <c r="G182"/>
      <c r="H182" s="1296" t="s">
        <v>239</v>
      </c>
      <c r="I182" s="1297"/>
      <c r="J182" s="1297"/>
      <c r="K182" s="1297"/>
      <c r="L182" s="1299"/>
    </row>
    <row r="183" spans="1:12" ht="18.600000000000001" customHeight="1" x14ac:dyDescent="0.25">
      <c r="A183" s="725"/>
      <c r="B183" s="1277"/>
      <c r="D183" s="207" t="s">
        <v>240</v>
      </c>
      <c r="E183" s="739">
        <v>0</v>
      </c>
      <c r="F183"/>
      <c r="G183"/>
      <c r="I183" s="610"/>
      <c r="J183" s="610"/>
      <c r="K183" s="610"/>
      <c r="L183" s="610"/>
    </row>
    <row r="184" spans="1:12" ht="30" customHeight="1" x14ac:dyDescent="0.25">
      <c r="A184" s="725"/>
      <c r="B184" s="1277"/>
      <c r="D184" s="104" t="s">
        <v>241</v>
      </c>
      <c r="E184" s="739">
        <v>0</v>
      </c>
      <c r="F184"/>
      <c r="G184"/>
      <c r="H184" s="1440" t="s">
        <v>242</v>
      </c>
      <c r="I184" s="1441"/>
      <c r="J184" s="1441"/>
      <c r="K184" s="1441"/>
      <c r="L184" s="1442"/>
    </row>
    <row r="185" spans="1:12" ht="30" customHeight="1" x14ac:dyDescent="0.25">
      <c r="A185" s="725"/>
      <c r="B185" s="1277"/>
      <c r="D185" s="412" t="s">
        <v>243</v>
      </c>
      <c r="E185" s="739">
        <v>0</v>
      </c>
      <c r="F185"/>
      <c r="G185"/>
      <c r="H185" s="1443"/>
      <c r="I185" s="1444"/>
      <c r="J185" s="1444"/>
      <c r="K185" s="1444"/>
      <c r="L185" s="1445"/>
    </row>
    <row r="186" spans="1:12" ht="18" customHeight="1" x14ac:dyDescent="0.25">
      <c r="A186" s="725"/>
      <c r="B186" s="1277"/>
      <c r="D186" s="121" t="s">
        <v>244</v>
      </c>
      <c r="E186" s="731">
        <f>E183-E184-E185</f>
        <v>0</v>
      </c>
      <c r="F186"/>
      <c r="G186"/>
      <c r="H186" s="1376"/>
      <c r="I186" s="1377"/>
      <c r="J186" s="1377"/>
      <c r="K186" s="1377"/>
      <c r="L186" s="1378"/>
    </row>
    <row r="187" spans="1:12" ht="31.9" customHeight="1" x14ac:dyDescent="0.25">
      <c r="A187" s="725"/>
      <c r="B187" s="1277"/>
      <c r="C187" s="93"/>
      <c r="D187" s="544" t="s">
        <v>245</v>
      </c>
      <c r="E187" s="738" t="s">
        <v>51</v>
      </c>
      <c r="F187"/>
      <c r="G187"/>
      <c r="H187" s="1296" t="s">
        <v>246</v>
      </c>
      <c r="I187" s="1297"/>
      <c r="J187" s="1297"/>
      <c r="K187" s="1297"/>
      <c r="L187" s="1299"/>
    </row>
    <row r="188" spans="1:12" ht="30" customHeight="1" x14ac:dyDescent="0.25">
      <c r="A188" s="725"/>
      <c r="B188" s="1277"/>
      <c r="D188" s="104" t="s">
        <v>247</v>
      </c>
      <c r="E188" s="739">
        <v>0</v>
      </c>
      <c r="F188"/>
      <c r="G188"/>
      <c r="H188"/>
      <c r="I188"/>
      <c r="J188"/>
      <c r="K188"/>
      <c r="L188"/>
    </row>
    <row r="189" spans="1:12" ht="30" customHeight="1" x14ac:dyDescent="0.25">
      <c r="A189" s="725"/>
      <c r="B189" s="1277"/>
      <c r="D189" s="104" t="s">
        <v>248</v>
      </c>
      <c r="E189" s="739">
        <v>0</v>
      </c>
      <c r="F189"/>
      <c r="G189"/>
      <c r="H189" s="610"/>
      <c r="I189" s="610"/>
      <c r="J189" s="610"/>
      <c r="K189" s="610"/>
      <c r="L189" s="610"/>
    </row>
    <row r="190" spans="1:12" ht="31.9" customHeight="1" x14ac:dyDescent="0.25">
      <c r="A190" s="725"/>
      <c r="B190" s="1277"/>
      <c r="D190" s="104" t="s">
        <v>249</v>
      </c>
      <c r="E190" s="739">
        <v>0</v>
      </c>
      <c r="F190"/>
      <c r="G190"/>
      <c r="H190" s="610"/>
      <c r="I190" s="610"/>
      <c r="J190" s="610"/>
      <c r="K190" s="610"/>
      <c r="L190" s="610"/>
    </row>
    <row r="191" spans="1:12" ht="16.899999999999999" customHeight="1" thickBot="1" x14ac:dyDescent="0.3">
      <c r="A191" s="725"/>
      <c r="B191" s="1277"/>
      <c r="C191" s="769"/>
      <c r="D191" s="733" t="s">
        <v>250</v>
      </c>
      <c r="E191" s="740">
        <f>E188-E189-E190</f>
        <v>0</v>
      </c>
      <c r="F191"/>
      <c r="G191"/>
      <c r="H191" s="31"/>
    </row>
    <row r="192" spans="1:12" ht="19.149999999999999" customHeight="1" x14ac:dyDescent="0.25">
      <c r="A192" s="725"/>
      <c r="B192" s="1277"/>
      <c r="C192" s="780" t="s">
        <v>251</v>
      </c>
      <c r="D192" s="736"/>
      <c r="E192" s="727"/>
      <c r="F192" s="386"/>
      <c r="G192" s="386"/>
      <c r="H192" s="796" t="s">
        <v>252</v>
      </c>
      <c r="I192" s="797"/>
      <c r="J192" s="798"/>
    </row>
    <row r="193" spans="1:16" ht="30" customHeight="1" x14ac:dyDescent="0.25">
      <c r="A193" s="725"/>
      <c r="B193" s="1277"/>
      <c r="C193" s="93"/>
      <c r="D193" s="544" t="s">
        <v>253</v>
      </c>
      <c r="E193" s="741" t="s">
        <v>51</v>
      </c>
      <c r="F193"/>
      <c r="G193"/>
      <c r="H193" s="1422" t="s">
        <v>254</v>
      </c>
      <c r="I193" s="1423"/>
      <c r="J193" s="1423"/>
      <c r="K193" s="1423"/>
      <c r="L193" s="1424"/>
    </row>
    <row r="194" spans="1:16" ht="18" customHeight="1" x14ac:dyDescent="0.25">
      <c r="A194" s="725"/>
      <c r="B194" s="1277"/>
      <c r="D194" s="104" t="s">
        <v>255</v>
      </c>
      <c r="E194" s="739">
        <v>0</v>
      </c>
      <c r="F194"/>
      <c r="G194"/>
      <c r="H194" s="31"/>
    </row>
    <row r="195" spans="1:16" ht="30.75" thickBot="1" x14ac:dyDescent="0.3">
      <c r="A195" s="725"/>
      <c r="B195" s="1277"/>
      <c r="D195" s="104" t="s">
        <v>256</v>
      </c>
      <c r="E195" s="739">
        <v>0</v>
      </c>
      <c r="F195"/>
      <c r="G195"/>
      <c r="H195" s="1416" t="s">
        <v>257</v>
      </c>
      <c r="I195" s="1417"/>
      <c r="J195" s="1417"/>
      <c r="K195" s="1417"/>
      <c r="L195" s="1418"/>
    </row>
    <row r="196" spans="1:16" ht="27" customHeight="1" x14ac:dyDescent="0.25">
      <c r="A196" s="725"/>
      <c r="B196" s="1277"/>
      <c r="D196" s="412" t="s">
        <v>258</v>
      </c>
      <c r="E196" s="739">
        <v>0</v>
      </c>
      <c r="F196"/>
      <c r="G196"/>
      <c r="H196" s="1419"/>
      <c r="I196" s="1420"/>
      <c r="J196" s="1420"/>
      <c r="K196" s="1420"/>
      <c r="L196" s="1421"/>
    </row>
    <row r="197" spans="1:16" ht="19.899999999999999" customHeight="1" x14ac:dyDescent="0.25">
      <c r="A197" s="725"/>
      <c r="B197" s="1277"/>
      <c r="D197" s="121" t="s">
        <v>244</v>
      </c>
      <c r="E197" s="731">
        <f>E194-E195-E196</f>
        <v>0</v>
      </c>
      <c r="F197"/>
      <c r="G197"/>
      <c r="H197" s="31"/>
    </row>
    <row r="198" spans="1:16" ht="32.450000000000003" customHeight="1" x14ac:dyDescent="0.25">
      <c r="A198" s="725"/>
      <c r="B198" s="1277"/>
      <c r="C198" s="93"/>
      <c r="D198" s="544" t="s">
        <v>259</v>
      </c>
      <c r="E198" s="738" t="s">
        <v>51</v>
      </c>
      <c r="F198"/>
      <c r="G198"/>
    </row>
    <row r="199" spans="1:16" ht="27" customHeight="1" x14ac:dyDescent="0.25">
      <c r="A199" s="725"/>
      <c r="B199" s="1277"/>
      <c r="D199" s="104" t="s">
        <v>260</v>
      </c>
      <c r="E199" s="739">
        <v>0</v>
      </c>
      <c r="F199"/>
      <c r="H199" s="610"/>
      <c r="I199" s="610"/>
      <c r="J199" s="610"/>
      <c r="K199" s="610"/>
      <c r="L199" s="610"/>
    </row>
    <row r="200" spans="1:16" ht="27" customHeight="1" x14ac:dyDescent="0.25">
      <c r="A200" s="725"/>
      <c r="B200" s="1277"/>
      <c r="D200" s="412" t="s">
        <v>261</v>
      </c>
      <c r="E200" s="739">
        <v>0</v>
      </c>
      <c r="F200"/>
    </row>
    <row r="201" spans="1:16" ht="27.6" customHeight="1" x14ac:dyDescent="0.25">
      <c r="A201" s="725"/>
      <c r="B201" s="1277"/>
      <c r="D201" s="104" t="s">
        <v>258</v>
      </c>
      <c r="E201" s="739">
        <v>0</v>
      </c>
      <c r="F201"/>
    </row>
    <row r="202" spans="1:16" ht="16.899999999999999" customHeight="1" thickBot="1" x14ac:dyDescent="0.3">
      <c r="A202" s="725"/>
      <c r="B202" s="1277"/>
      <c r="D202" s="121" t="s">
        <v>262</v>
      </c>
      <c r="E202" s="955">
        <f>E199-E200-E201</f>
        <v>0</v>
      </c>
      <c r="F202"/>
      <c r="G202"/>
      <c r="H202" s="31"/>
    </row>
    <row r="203" spans="1:16" ht="26.25" customHeight="1" thickBot="1" x14ac:dyDescent="0.3">
      <c r="A203" s="725"/>
      <c r="B203" s="1278"/>
      <c r="C203" s="958"/>
      <c r="D203" s="964" t="s">
        <v>263</v>
      </c>
      <c r="E203" s="959"/>
      <c r="H203" s="1300" t="s">
        <v>264</v>
      </c>
      <c r="I203" s="1301"/>
      <c r="J203" s="1302"/>
    </row>
    <row r="204" spans="1:16" ht="19.149999999999999" customHeight="1" thickTop="1" x14ac:dyDescent="0.25">
      <c r="A204" s="725"/>
      <c r="B204" s="1279"/>
      <c r="C204" s="957"/>
      <c r="D204" s="1111" t="s">
        <v>265</v>
      </c>
      <c r="E204" s="961" t="str">
        <f>IFERROR(E8/E6,"-")</f>
        <v>-</v>
      </c>
      <c r="G204" s="619"/>
      <c r="H204" s="1296" t="s">
        <v>266</v>
      </c>
      <c r="I204" s="1297"/>
      <c r="J204" s="1297"/>
      <c r="K204" s="1297"/>
      <c r="L204" s="1299"/>
      <c r="N204" s="1410" t="s">
        <v>267</v>
      </c>
      <c r="O204" s="1411"/>
      <c r="P204" s="1412"/>
    </row>
    <row r="205" spans="1:16" ht="33.75" customHeight="1" thickBot="1" x14ac:dyDescent="0.3">
      <c r="A205" s="725"/>
      <c r="B205" s="1280"/>
      <c r="C205" s="93"/>
      <c r="D205" s="544" t="s">
        <v>268</v>
      </c>
      <c r="E205" s="738" t="s">
        <v>51</v>
      </c>
      <c r="G205" s="619"/>
      <c r="H205" s="619"/>
      <c r="I205" s="619"/>
      <c r="J205" s="619"/>
      <c r="K205" s="619"/>
      <c r="L205" s="619"/>
      <c r="N205" s="1413"/>
      <c r="O205" s="1414"/>
      <c r="P205" s="1415"/>
    </row>
    <row r="206" spans="1:16" ht="31.5" customHeight="1" thickTop="1" thickBot="1" x14ac:dyDescent="0.3">
      <c r="A206" s="725"/>
      <c r="B206" s="1280"/>
      <c r="C206" s="93"/>
      <c r="D206" s="960" t="s">
        <v>269</v>
      </c>
      <c r="E206" s="738" t="s">
        <v>51</v>
      </c>
      <c r="G206" s="619"/>
      <c r="H206" s="1296" t="s">
        <v>270</v>
      </c>
      <c r="I206" s="1297"/>
      <c r="J206" s="1297"/>
      <c r="K206" s="1297"/>
      <c r="L206" s="1299"/>
      <c r="N206" s="975" t="s">
        <v>271</v>
      </c>
      <c r="O206" s="976">
        <v>15</v>
      </c>
      <c r="P206" s="977" t="str">
        <f>IF(O206&lt;12,"Légère",IF(AND(O206&gt;=12,O206&lt;=19),"Moyenne",IF(O206&gt;19,"Lourde")))</f>
        <v>Moyenne</v>
      </c>
    </row>
    <row r="207" spans="1:16" ht="28.5" customHeight="1" x14ac:dyDescent="0.25">
      <c r="A207" s="725"/>
      <c r="B207" s="1280"/>
      <c r="C207" s="93"/>
      <c r="D207" s="960" t="s">
        <v>272</v>
      </c>
      <c r="E207" s="738" t="s">
        <v>51</v>
      </c>
      <c r="G207" s="619"/>
      <c r="H207" s="1296" t="s">
        <v>273</v>
      </c>
      <c r="I207" s="1297"/>
      <c r="J207" s="1297"/>
      <c r="K207" s="1297"/>
      <c r="L207" s="1299"/>
      <c r="N207" s="978" t="s">
        <v>274</v>
      </c>
      <c r="O207" s="1342">
        <v>4</v>
      </c>
      <c r="P207" s="1343"/>
    </row>
    <row r="208" spans="1:16" ht="32.25" customHeight="1" thickBot="1" x14ac:dyDescent="0.3">
      <c r="A208" s="725"/>
      <c r="B208" s="1280"/>
      <c r="D208" s="960" t="s">
        <v>275</v>
      </c>
      <c r="E208" s="963">
        <v>0</v>
      </c>
      <c r="G208" s="619"/>
      <c r="H208" s="1296" t="s">
        <v>276</v>
      </c>
      <c r="I208" s="1297"/>
      <c r="J208" s="1297"/>
      <c r="K208" s="1297"/>
      <c r="L208" s="1299"/>
      <c r="N208" s="978" t="s">
        <v>277</v>
      </c>
      <c r="O208" s="1344">
        <f>O207/O206*100</f>
        <v>26.666666666666668</v>
      </c>
      <c r="P208" s="1345"/>
    </row>
    <row r="209" spans="1:16" ht="77.25" customHeight="1" thickBot="1" x14ac:dyDescent="0.3">
      <c r="A209" s="725"/>
      <c r="B209" s="1280"/>
      <c r="D209" s="960" t="s">
        <v>278</v>
      </c>
      <c r="E209" s="963">
        <v>0</v>
      </c>
      <c r="G209" s="619"/>
      <c r="H209" s="1296" t="s">
        <v>279</v>
      </c>
      <c r="I209" s="1297"/>
      <c r="J209" s="1297"/>
      <c r="K209" s="1297"/>
      <c r="L209" s="1299"/>
      <c r="N209" s="979" t="s">
        <v>280</v>
      </c>
      <c r="O209" s="1346" t="str">
        <f>IF(P206="Légère",IF(O208&lt;14,"Défavorable",IF(AND(O208&gt;=14,O208&lt;=17),"Transition",IF(O208&gt;17,"Favorable"))),IF(P206="Moyenne",IF(O208&lt;8,"Défavorable",IF(AND(O208&gt;=8,O208&lt;=10),"Transition",IF(O208&gt;10,"Favorable"))),IF(P206="Lourde",IF(O208&lt;6,"Défavorable",IF(AND(O208&gt;=6,O208&lt;=9),"Transition",IF(O208&gt;9,"Favorable"))))))</f>
        <v>Favorable</v>
      </c>
      <c r="P209" s="1347"/>
    </row>
    <row r="210" spans="1:16" ht="24.75" customHeight="1" thickTop="1" x14ac:dyDescent="0.25">
      <c r="A210" s="725"/>
      <c r="B210" s="1280"/>
      <c r="D210" s="965" t="s">
        <v>281</v>
      </c>
      <c r="E210" s="966">
        <f>IF(AND(E205="OUI",E206="OUI"),E6-E208-E209,0)</f>
        <v>0</v>
      </c>
    </row>
    <row r="211" spans="1:16" ht="22.5" customHeight="1" x14ac:dyDescent="0.25">
      <c r="A211" s="725"/>
      <c r="B211" s="1280"/>
      <c r="D211" s="967" t="s">
        <v>282</v>
      </c>
      <c r="E211" s="963">
        <v>0</v>
      </c>
      <c r="H211" s="1296" t="s">
        <v>283</v>
      </c>
      <c r="I211" s="1297"/>
      <c r="J211" s="1297"/>
      <c r="K211" s="1297"/>
      <c r="L211" s="1299"/>
    </row>
    <row r="212" spans="1:16" ht="24.75" customHeight="1" thickBot="1" x14ac:dyDescent="0.3">
      <c r="A212" s="725"/>
      <c r="B212" s="1280"/>
      <c r="D212" s="968" t="s">
        <v>284</v>
      </c>
      <c r="E212" s="961" t="str">
        <f>IFERROR(E211/E210,"-")</f>
        <v>-</v>
      </c>
    </row>
    <row r="213" spans="1:16" ht="31.5" customHeight="1" x14ac:dyDescent="0.25">
      <c r="A213" s="725"/>
      <c r="B213" s="1280"/>
      <c r="D213" s="969" t="s">
        <v>285</v>
      </c>
      <c r="E213" s="970">
        <v>0</v>
      </c>
      <c r="F213" s="619"/>
      <c r="G213" s="619"/>
      <c r="H213" s="1348" t="s">
        <v>286</v>
      </c>
      <c r="I213" s="1348"/>
      <c r="J213" s="1348"/>
      <c r="K213" s="1348"/>
      <c r="L213" s="1348"/>
    </row>
    <row r="214" spans="1:16" ht="19.149999999999999" customHeight="1" x14ac:dyDescent="0.25">
      <c r="A214" s="725"/>
      <c r="B214" s="1280"/>
      <c r="D214" s="971" t="s">
        <v>287</v>
      </c>
      <c r="E214" s="972">
        <v>0</v>
      </c>
      <c r="F214" s="619"/>
      <c r="G214" s="619"/>
      <c r="H214" s="1348"/>
      <c r="I214" s="1348"/>
      <c r="J214" s="1348"/>
      <c r="K214" s="1348"/>
      <c r="L214" s="1348"/>
    </row>
    <row r="215" spans="1:16" ht="16.149999999999999" customHeight="1" thickBot="1" x14ac:dyDescent="0.3">
      <c r="A215" s="725"/>
      <c r="B215" s="1280"/>
      <c r="D215" s="973" t="s">
        <v>288</v>
      </c>
      <c r="E215" s="974">
        <v>0</v>
      </c>
      <c r="F215" s="619"/>
      <c r="G215" s="619"/>
      <c r="H215" s="619"/>
      <c r="I215" s="619"/>
      <c r="J215" s="619"/>
      <c r="K215" s="619"/>
      <c r="L215" s="619"/>
    </row>
    <row r="216" spans="1:16" ht="48.75" customHeight="1" x14ac:dyDescent="0.25">
      <c r="A216" s="725"/>
      <c r="B216" s="1280"/>
      <c r="D216" s="969" t="s">
        <v>289</v>
      </c>
      <c r="E216" s="970">
        <v>0</v>
      </c>
      <c r="F216" s="619"/>
      <c r="G216" s="619"/>
      <c r="H216" s="1331" t="s">
        <v>290</v>
      </c>
      <c r="I216" s="1331"/>
      <c r="J216" s="1331"/>
      <c r="K216" s="1331"/>
      <c r="L216" s="1331"/>
    </row>
    <row r="217" spans="1:16" ht="25.5" customHeight="1" x14ac:dyDescent="0.25">
      <c r="A217" s="725"/>
      <c r="B217" s="1280"/>
      <c r="D217" s="971" t="s">
        <v>291</v>
      </c>
      <c r="E217" s="972">
        <v>0</v>
      </c>
      <c r="F217" s="619"/>
      <c r="G217" s="619"/>
      <c r="H217" s="619"/>
      <c r="I217" s="619"/>
      <c r="J217" s="619"/>
      <c r="K217" s="619"/>
      <c r="L217" s="619"/>
    </row>
    <row r="218" spans="1:16" ht="36.75" customHeight="1" thickBot="1" x14ac:dyDescent="0.3">
      <c r="A218" s="725"/>
      <c r="B218" s="1281"/>
      <c r="C218" s="980"/>
      <c r="D218" s="973" t="s">
        <v>292</v>
      </c>
      <c r="E218" s="974">
        <v>0</v>
      </c>
      <c r="F218" s="619"/>
      <c r="G218" s="619"/>
      <c r="H218" s="1296" t="s">
        <v>293</v>
      </c>
      <c r="I218" s="1297"/>
      <c r="J218" s="1297"/>
      <c r="K218" s="1297"/>
      <c r="L218" s="1299"/>
    </row>
    <row r="219" spans="1:16" ht="36.75" customHeight="1" thickBot="1" x14ac:dyDescent="0.3">
      <c r="A219" s="1107"/>
      <c r="B219" s="1282"/>
      <c r="C219" s="1108"/>
      <c r="D219" s="1110" t="s">
        <v>294</v>
      </c>
      <c r="E219" s="1109"/>
      <c r="F219" s="995"/>
      <c r="G219" s="619"/>
      <c r="H219" s="1106"/>
      <c r="I219" s="1106"/>
      <c r="J219" s="1106"/>
      <c r="K219" s="1106"/>
      <c r="L219" s="1106"/>
    </row>
    <row r="220" spans="1:16" ht="33" customHeight="1" thickBot="1" x14ac:dyDescent="0.3">
      <c r="A220" s="1107"/>
      <c r="B220" s="1283"/>
      <c r="D220" s="1112" t="s">
        <v>295</v>
      </c>
      <c r="E220" s="747" t="s">
        <v>51</v>
      </c>
      <c r="F220" s="619"/>
      <c r="G220" s="619"/>
      <c r="H220" s="1303" t="s">
        <v>296</v>
      </c>
      <c r="I220" s="1304"/>
      <c r="J220" s="1305"/>
      <c r="K220" s="1106"/>
      <c r="L220" s="1106"/>
    </row>
    <row r="221" spans="1:16" ht="21.75" customHeight="1" x14ac:dyDescent="0.25">
      <c r="A221" s="1107"/>
      <c r="B221" s="1283"/>
      <c r="D221" s="432" t="s">
        <v>297</v>
      </c>
      <c r="E221" s="1113">
        <v>0</v>
      </c>
      <c r="F221" s="619"/>
      <c r="G221" s="619"/>
      <c r="H221" s="1336" t="s">
        <v>298</v>
      </c>
      <c r="I221" s="1337"/>
      <c r="J221" s="1337"/>
      <c r="K221" s="1337"/>
      <c r="L221" s="1338"/>
    </row>
    <row r="222" spans="1:16" ht="21" customHeight="1" x14ac:dyDescent="0.25">
      <c r="A222" s="1107"/>
      <c r="B222" s="1283"/>
      <c r="D222" s="33" t="s">
        <v>299</v>
      </c>
      <c r="E222" s="1114">
        <v>0</v>
      </c>
      <c r="F222" s="619"/>
      <c r="G222" s="619"/>
      <c r="H222" s="1339" t="s">
        <v>300</v>
      </c>
      <c r="I222" s="1340"/>
      <c r="J222" s="1340"/>
      <c r="K222" s="1340"/>
      <c r="L222" s="1341"/>
    </row>
    <row r="223" spans="1:16" ht="21" customHeight="1" thickBot="1" x14ac:dyDescent="0.3">
      <c r="A223" s="1107"/>
      <c r="B223" s="1284"/>
      <c r="C223" s="875"/>
      <c r="D223" s="103" t="s">
        <v>301</v>
      </c>
      <c r="E223" s="1115">
        <v>0</v>
      </c>
      <c r="F223" s="619"/>
      <c r="G223" s="619"/>
      <c r="H223" s="1339" t="s">
        <v>302</v>
      </c>
      <c r="I223" s="1340"/>
      <c r="J223" s="1340"/>
      <c r="K223" s="1340"/>
      <c r="L223" s="1341"/>
    </row>
    <row r="224" spans="1:16" ht="14.25" customHeight="1" x14ac:dyDescent="0.25">
      <c r="A224" s="726" t="b">
        <f t="shared" ref="A224:A234" si="7">ISBLANK(D256)</f>
        <v>1</v>
      </c>
      <c r="B224" s="1285">
        <f t="shared" ref="B224:B230" si="8">IF(A224=TRUE,IF(E256=0,0,1),IF(E256=0,2,0))</f>
        <v>0</v>
      </c>
    </row>
    <row r="225" spans="1:12" ht="14.25" customHeight="1" thickBot="1" x14ac:dyDescent="0.3">
      <c r="A225" s="726" t="b">
        <f t="shared" si="7"/>
        <v>1</v>
      </c>
      <c r="B225" s="1285">
        <f t="shared" si="8"/>
        <v>0</v>
      </c>
    </row>
    <row r="226" spans="1:12" ht="35.25" thickBot="1" x14ac:dyDescent="0.3">
      <c r="A226" s="726" t="b">
        <f t="shared" si="7"/>
        <v>1</v>
      </c>
      <c r="B226" s="1285">
        <f t="shared" si="8"/>
        <v>0</v>
      </c>
      <c r="C226" s="742"/>
      <c r="D226" s="743" t="s">
        <v>303</v>
      </c>
      <c r="E226" s="744"/>
    </row>
    <row r="227" spans="1:12" ht="14.25" customHeight="1" x14ac:dyDescent="0.25">
      <c r="A227" s="726" t="b">
        <f t="shared" si="7"/>
        <v>1</v>
      </c>
      <c r="B227" s="1285">
        <f t="shared" si="8"/>
        <v>0</v>
      </c>
      <c r="C227" s="735" t="s">
        <v>304</v>
      </c>
      <c r="D227" s="736"/>
      <c r="E227" s="727"/>
    </row>
    <row r="228" spans="1:12" ht="14.25" customHeight="1" x14ac:dyDescent="0.25">
      <c r="A228" s="726" t="b">
        <f t="shared" si="7"/>
        <v>1</v>
      </c>
      <c r="B228" s="1285">
        <f t="shared" si="8"/>
        <v>0</v>
      </c>
      <c r="C228" s="737"/>
      <c r="D228" s="546" t="s">
        <v>305</v>
      </c>
      <c r="E228" s="728" t="s">
        <v>38</v>
      </c>
      <c r="F228"/>
      <c r="G228"/>
      <c r="H228" s="31"/>
    </row>
    <row r="229" spans="1:12" ht="30" customHeight="1" x14ac:dyDescent="0.25">
      <c r="A229" s="726" t="b">
        <f t="shared" si="7"/>
        <v>1</v>
      </c>
      <c r="B229" s="1285">
        <f t="shared" si="8"/>
        <v>0</v>
      </c>
      <c r="C229" s="730"/>
      <c r="D229" s="881" t="s">
        <v>306</v>
      </c>
      <c r="E229" s="729">
        <f>'CALCUL - ER PP'!B23</f>
        <v>0</v>
      </c>
      <c r="F229" s="381"/>
      <c r="G229" s="381"/>
      <c r="H229" s="1306" t="s">
        <v>307</v>
      </c>
      <c r="I229" s="1307"/>
      <c r="J229" s="1308"/>
    </row>
    <row r="230" spans="1:12" ht="14.25" customHeight="1" x14ac:dyDescent="0.25">
      <c r="A230" s="726" t="b">
        <f t="shared" si="7"/>
        <v>1</v>
      </c>
      <c r="B230" s="1285">
        <f t="shared" si="8"/>
        <v>0</v>
      </c>
      <c r="C230" s="730"/>
      <c r="D230" s="105" t="s">
        <v>308</v>
      </c>
      <c r="E230" s="731">
        <f>'CALCUL - ER PP'!B5</f>
        <v>0</v>
      </c>
      <c r="F230" s="381"/>
      <c r="G230" s="381"/>
      <c r="H230" s="1336" t="s">
        <v>309</v>
      </c>
      <c r="I230" s="1337"/>
      <c r="J230" s="1337"/>
      <c r="K230" s="1337"/>
      <c r="L230" s="1338"/>
    </row>
    <row r="231" spans="1:12" ht="14.25" customHeight="1" x14ac:dyDescent="0.25">
      <c r="A231" s="726" t="b">
        <f t="shared" si="7"/>
        <v>1</v>
      </c>
      <c r="B231" s="1285">
        <v>0</v>
      </c>
      <c r="C231" s="730"/>
      <c r="D231" s="105" t="s">
        <v>310</v>
      </c>
      <c r="E231" s="731">
        <f>'CALCUL - ER PP'!B6</f>
        <v>0</v>
      </c>
      <c r="F231" s="385"/>
      <c r="G231" s="385"/>
      <c r="H231" s="1296" t="s">
        <v>311</v>
      </c>
      <c r="I231" s="1297"/>
      <c r="J231" s="1297"/>
      <c r="K231" s="1297"/>
      <c r="L231" s="1299"/>
    </row>
    <row r="232" spans="1:12" ht="14.25" customHeight="1" x14ac:dyDescent="0.25">
      <c r="A232" s="726" t="b">
        <f t="shared" si="7"/>
        <v>1</v>
      </c>
      <c r="B232" s="1285">
        <f>IF(A232=TRUE,IF(E264=0,0,1),IF(E264=0,2,0))</f>
        <v>0</v>
      </c>
      <c r="C232" s="730"/>
      <c r="D232" s="105" t="s">
        <v>312</v>
      </c>
      <c r="E232" s="731">
        <f>'CALCUL - ER PP'!B7</f>
        <v>0</v>
      </c>
      <c r="F232" s="384"/>
      <c r="G232" s="384"/>
    </row>
    <row r="233" spans="1:12" ht="14.25" customHeight="1" x14ac:dyDescent="0.25">
      <c r="A233" s="726" t="b">
        <f t="shared" si="7"/>
        <v>1</v>
      </c>
      <c r="B233" s="1285">
        <f>IF(A233=TRUE,IF(E265=0,0,1),IF(E265=0,2,0))</f>
        <v>0</v>
      </c>
      <c r="C233" s="730"/>
      <c r="D233" s="105" t="s">
        <v>313</v>
      </c>
      <c r="E233" s="731">
        <f>'CALCUL - ER PP'!B13+'CALCUL - ER PP'!B14+'CALCUL - ER PP'!B15+'CALCUL - ER PP'!B16+'CALCUL - ER PP'!B17</f>
        <v>0</v>
      </c>
      <c r="F233" s="384"/>
      <c r="G233" s="384"/>
      <c r="H233" s="31"/>
    </row>
    <row r="234" spans="1:12" ht="13.9" customHeight="1" x14ac:dyDescent="0.25">
      <c r="A234" s="726" t="b">
        <f t="shared" si="7"/>
        <v>0</v>
      </c>
      <c r="B234" s="1285">
        <f>IF(A234=TRUE,IF(E266=0,0,1),IF(E266=0,2,0))</f>
        <v>2</v>
      </c>
      <c r="C234" s="730"/>
      <c r="D234" s="105" t="s">
        <v>314</v>
      </c>
      <c r="E234" s="731">
        <f>'CALCUL - ER PP'!B18+'CALCUL - ER PP'!B19</f>
        <v>0</v>
      </c>
      <c r="F234" s="384"/>
      <c r="G234" s="384"/>
      <c r="H234" s="31"/>
    </row>
    <row r="235" spans="1:12" ht="13.9" customHeight="1" x14ac:dyDescent="0.25">
      <c r="A235" s="726"/>
      <c r="B235" s="1285"/>
      <c r="C235" s="730"/>
      <c r="D235" s="105" t="s">
        <v>315</v>
      </c>
      <c r="E235" s="745">
        <f>SUM('CALCUL - ER PP'!B8:B12)</f>
        <v>0</v>
      </c>
      <c r="F235" s="384"/>
      <c r="G235" s="384"/>
      <c r="H235" s="31"/>
    </row>
    <row r="236" spans="1:12" ht="13.9" customHeight="1" thickBot="1" x14ac:dyDescent="0.3">
      <c r="A236" s="726"/>
      <c r="B236" s="1285"/>
      <c r="C236" s="732"/>
      <c r="D236" s="733" t="s">
        <v>234</v>
      </c>
      <c r="E236" s="734">
        <f>IF(E228="OUI",'CALCUL - ER PP'!B46,0)</f>
        <v>0</v>
      </c>
      <c r="F236" s="384"/>
      <c r="G236" s="384"/>
      <c r="H236" s="603" t="s">
        <v>316</v>
      </c>
      <c r="I236" s="611"/>
      <c r="J236" s="611"/>
      <c r="K236" s="611"/>
      <c r="L236" s="612"/>
    </row>
    <row r="237" spans="1:12" ht="13.9" customHeight="1" x14ac:dyDescent="0.25">
      <c r="A237" s="726"/>
      <c r="B237" s="1285"/>
      <c r="C237" s="735" t="s">
        <v>317</v>
      </c>
      <c r="D237" s="736"/>
      <c r="E237" s="727"/>
      <c r="F237" s="384"/>
      <c r="G237" s="384"/>
      <c r="H237" s="796" t="s">
        <v>318</v>
      </c>
      <c r="I237" s="797"/>
      <c r="J237" s="798"/>
    </row>
    <row r="238" spans="1:12" ht="18" customHeight="1" x14ac:dyDescent="0.25">
      <c r="A238" s="726"/>
      <c r="B238" s="1285"/>
      <c r="C238" s="737"/>
      <c r="D238" s="544" t="s">
        <v>319</v>
      </c>
      <c r="E238" s="738" t="s">
        <v>51</v>
      </c>
      <c r="F238" s="386"/>
      <c r="G238" s="386"/>
      <c r="H238" s="207" t="s">
        <v>320</v>
      </c>
      <c r="I238" s="611"/>
      <c r="J238" s="611"/>
      <c r="K238" s="611"/>
      <c r="L238" s="612"/>
    </row>
    <row r="239" spans="1:12" ht="14.25" customHeight="1" x14ac:dyDescent="0.25">
      <c r="A239" s="726" t="b">
        <f>ISBLANK(D271)</f>
        <v>1</v>
      </c>
      <c r="B239" s="1285">
        <f>IF(A239=TRUE,IF(E271=0,0,1),IF(E271=0,2,0))</f>
        <v>0</v>
      </c>
      <c r="C239" s="737"/>
      <c r="D239" s="544" t="s">
        <v>321</v>
      </c>
      <c r="E239" s="739">
        <v>0</v>
      </c>
      <c r="F239" s="381"/>
      <c r="G239" s="381"/>
      <c r="H239" s="603" t="s">
        <v>322</v>
      </c>
      <c r="I239" s="611"/>
      <c r="J239" s="611"/>
      <c r="K239" s="611"/>
      <c r="L239" s="612"/>
    </row>
    <row r="240" spans="1:12" ht="14.25" customHeight="1" x14ac:dyDescent="0.25">
      <c r="A240" s="726" t="b">
        <f t="shared" ref="A240:A245" si="9">ISBLANK(D272)</f>
        <v>1</v>
      </c>
      <c r="B240" s="1285">
        <f>IF(A240=TRUE,IF(E272=0,0,1),IF(E272=0,2,0))</f>
        <v>0</v>
      </c>
      <c r="C240" s="730"/>
      <c r="D240" s="122" t="s">
        <v>323</v>
      </c>
      <c r="E240" s="729">
        <f>'CALCUL - ER CFE'!B33</f>
        <v>0</v>
      </c>
      <c r="F240" s="381"/>
      <c r="G240" s="381"/>
      <c r="H240" s="872" t="s">
        <v>324</v>
      </c>
      <c r="I240" s="611"/>
      <c r="J240" s="611"/>
      <c r="K240" s="611"/>
      <c r="L240" s="612"/>
    </row>
    <row r="241" spans="1:13" ht="14.25" customHeight="1" x14ac:dyDescent="0.25">
      <c r="A241" s="726" t="b">
        <f t="shared" si="9"/>
        <v>1</v>
      </c>
      <c r="B241" s="1285">
        <f>IF(A241=TRUE,IF(E275=0,0,1),IF(E275=0,2,0))</f>
        <v>0</v>
      </c>
      <c r="C241" s="730"/>
      <c r="D241" s="105" t="s">
        <v>325</v>
      </c>
      <c r="E241" s="731">
        <f>SUM('CALCUL - ER CFE'!B7:B11)</f>
        <v>0</v>
      </c>
      <c r="F241" s="381"/>
      <c r="G241" s="381"/>
    </row>
    <row r="242" spans="1:13" ht="13.9" customHeight="1" x14ac:dyDescent="0.25">
      <c r="A242" s="726" t="b">
        <f t="shared" si="9"/>
        <v>1</v>
      </c>
      <c r="B242" s="1285">
        <f>IF(A242=TRUE,IF(E276=0,0,1),IF(E276=0,2,0))</f>
        <v>0</v>
      </c>
      <c r="C242" s="730"/>
      <c r="D242" s="105" t="s">
        <v>326</v>
      </c>
      <c r="E242" s="731">
        <f>SUM('CALCUL - ER CFE'!B12:B26,'CALCUL - ER CFE'!B28)</f>
        <v>0</v>
      </c>
      <c r="F242" s="385"/>
      <c r="G242" s="385"/>
    </row>
    <row r="243" spans="1:13" ht="14.25" customHeight="1" thickBot="1" x14ac:dyDescent="0.3">
      <c r="A243" s="726" t="b">
        <f t="shared" si="9"/>
        <v>1</v>
      </c>
      <c r="B243" s="1285">
        <f>IF(A243=TRUE,IF(E277=0,0,1),IF(E277=0,2,0))</f>
        <v>0</v>
      </c>
      <c r="C243" s="732"/>
      <c r="D243" s="733" t="s">
        <v>327</v>
      </c>
      <c r="E243" s="740">
        <f>'CALCUL - ER CFE'!B27+'CALCUL - ER CFE'!B29+'CALCUL - ER CFE'!B30+'CALCUL - ER CFE'!B31</f>
        <v>0</v>
      </c>
      <c r="F243" s="384"/>
      <c r="G243" s="384"/>
      <c r="H243" s="31"/>
    </row>
    <row r="244" spans="1:13" ht="14.25" customHeight="1" x14ac:dyDescent="0.25">
      <c r="A244" s="726" t="b">
        <f t="shared" si="9"/>
        <v>1</v>
      </c>
      <c r="B244" s="1285">
        <v>0</v>
      </c>
      <c r="C244" s="735" t="s">
        <v>328</v>
      </c>
      <c r="D244" s="736"/>
      <c r="E244" s="746"/>
      <c r="F244" s="384"/>
      <c r="G244" s="384"/>
      <c r="H244" s="1309" t="s">
        <v>329</v>
      </c>
      <c r="I244" s="1310"/>
      <c r="J244" s="1311"/>
    </row>
    <row r="245" spans="1:13" ht="14.25" customHeight="1" thickBot="1" x14ac:dyDescent="0.3">
      <c r="A245" s="726" t="b">
        <f t="shared" si="9"/>
        <v>1</v>
      </c>
      <c r="B245" s="1285">
        <f>IF(A245=TRUE,IF(E279=0,0,1),IF(E279=0,2,0))</f>
        <v>0</v>
      </c>
      <c r="C245" s="737"/>
      <c r="D245" s="544" t="s">
        <v>330</v>
      </c>
      <c r="E245" s="747" t="s">
        <v>51</v>
      </c>
      <c r="F245" s="384"/>
      <c r="G245" s="384"/>
      <c r="H245" s="207" t="s">
        <v>331</v>
      </c>
      <c r="I245" s="611"/>
      <c r="J245" s="611"/>
      <c r="K245" s="611"/>
      <c r="L245" s="612"/>
    </row>
    <row r="246" spans="1:13" ht="14.25" customHeight="1" thickBot="1" x14ac:dyDescent="0.3">
      <c r="A246" s="726"/>
      <c r="B246" s="1285"/>
      <c r="C246" s="737"/>
      <c r="D246" s="545" t="s">
        <v>332</v>
      </c>
      <c r="E246" s="1246">
        <v>0</v>
      </c>
      <c r="F246" s="381"/>
      <c r="G246" s="381"/>
      <c r="H246" s="1333" t="s">
        <v>333</v>
      </c>
      <c r="I246" s="1334"/>
      <c r="J246" s="1334"/>
      <c r="K246" s="1334"/>
      <c r="L246" s="1335"/>
    </row>
    <row r="247" spans="1:13" ht="14.25" customHeight="1" x14ac:dyDescent="0.25">
      <c r="A247" s="726"/>
      <c r="B247" s="1285"/>
      <c r="C247" s="1243"/>
      <c r="D247" s="122" t="s">
        <v>1440</v>
      </c>
      <c r="E247" s="1252">
        <f>F40</f>
        <v>0</v>
      </c>
      <c r="F247" s="381"/>
      <c r="G247" s="381"/>
      <c r="H247" s="603" t="s">
        <v>1442</v>
      </c>
      <c r="I247" s="611"/>
      <c r="J247" s="611"/>
      <c r="K247" s="611"/>
      <c r="L247" s="612"/>
    </row>
    <row r="248" spans="1:13" ht="14.25" customHeight="1" x14ac:dyDescent="0.25">
      <c r="A248" s="726"/>
      <c r="B248" s="1285"/>
      <c r="C248" s="1243"/>
      <c r="D248" s="122" t="s">
        <v>1443</v>
      </c>
      <c r="E248" s="1245">
        <f>IF(E247&gt;0,1,0)</f>
        <v>0</v>
      </c>
      <c r="F248" s="381"/>
      <c r="G248" s="381"/>
      <c r="H248" s="603" t="s">
        <v>1441</v>
      </c>
      <c r="I248" s="611"/>
      <c r="J248" s="611"/>
      <c r="K248" s="611"/>
      <c r="L248" s="612"/>
    </row>
    <row r="249" spans="1:13" ht="14.25" customHeight="1" x14ac:dyDescent="0.25">
      <c r="A249" s="726" t="b">
        <f>ISBLANK(D279)</f>
        <v>1</v>
      </c>
      <c r="B249" s="1285">
        <f>IF(A249=TRUE,IF(E281=0,0,1),IF(E281=0,2,0))</f>
        <v>0</v>
      </c>
      <c r="C249" s="730"/>
      <c r="D249" s="122" t="s">
        <v>334</v>
      </c>
      <c r="E249" s="1244">
        <f>'CALCUL - ER CLS'!B10</f>
        <v>0</v>
      </c>
      <c r="F249" s="381"/>
      <c r="G249" s="381"/>
      <c r="H249" s="603" t="s">
        <v>335</v>
      </c>
      <c r="I249" s="611"/>
      <c r="J249" s="611"/>
      <c r="K249" s="611"/>
      <c r="L249" s="612"/>
    </row>
    <row r="250" spans="1:13" ht="14.25" customHeight="1" x14ac:dyDescent="0.25">
      <c r="A250" s="726" t="b">
        <f>ISBLANK(D280)</f>
        <v>1</v>
      </c>
      <c r="B250" s="1285">
        <f>IF(A250=TRUE,IF(E282=0,0,1),IF(E282=0,2,0))</f>
        <v>0</v>
      </c>
      <c r="C250" s="730"/>
      <c r="D250" s="105" t="s">
        <v>336</v>
      </c>
      <c r="E250" s="731">
        <f>SUM('CALCUL - ER CLS'!P7:P11)</f>
        <v>0</v>
      </c>
      <c r="F250" s="92"/>
      <c r="G250" s="92"/>
    </row>
    <row r="251" spans="1:13" ht="14.25" customHeight="1" x14ac:dyDescent="0.25">
      <c r="A251" s="726" t="b">
        <f>ISBLANK(D281)</f>
        <v>1</v>
      </c>
      <c r="B251" s="1285">
        <f>IF(A251=TRUE,IF(E283=0,0,1),IF(E283=0,2,0))</f>
        <v>0</v>
      </c>
      <c r="C251" s="730"/>
      <c r="D251" s="105" t="s">
        <v>337</v>
      </c>
      <c r="E251" s="731">
        <f>'CALCUL - ER CLS'!P6+'CALCUL - ER CLS'!S7+'CALCUL - ER CLS'!S8</f>
        <v>0</v>
      </c>
      <c r="F251" s="385"/>
      <c r="G251" s="385"/>
    </row>
    <row r="252" spans="1:13" ht="14.25" customHeight="1" thickBot="1" x14ac:dyDescent="0.3">
      <c r="A252" s="726" t="b">
        <f>ISBLANK(D282)</f>
        <v>1</v>
      </c>
      <c r="B252" s="725">
        <v>0</v>
      </c>
      <c r="C252" s="732"/>
      <c r="D252" s="733" t="s">
        <v>338</v>
      </c>
      <c r="E252" s="740">
        <f>'CALCUL - ER CLS'!S9+'CALCUL - ER CLS'!S10</f>
        <v>0</v>
      </c>
      <c r="F252" s="384"/>
      <c r="G252" s="384"/>
      <c r="H252" s="31"/>
    </row>
    <row r="253" spans="1:13" ht="14.25" customHeight="1" thickBot="1" x14ac:dyDescent="0.3">
      <c r="A253" s="726" t="b">
        <f>ISBLANK(D283)</f>
        <v>1</v>
      </c>
      <c r="B253" s="725">
        <v>0</v>
      </c>
      <c r="C253" s="735" t="s">
        <v>339</v>
      </c>
      <c r="D253" s="736"/>
      <c r="E253" s="727"/>
      <c r="F253" s="384"/>
      <c r="G253" s="384"/>
      <c r="H253" s="1309" t="s">
        <v>340</v>
      </c>
      <c r="I253" s="1310"/>
      <c r="J253" s="1311"/>
    </row>
    <row r="254" spans="1:13" ht="60.75" customHeight="1" x14ac:dyDescent="0.25">
      <c r="A254" s="725"/>
      <c r="B254" s="725"/>
      <c r="C254" s="748" t="s">
        <v>341</v>
      </c>
      <c r="D254" s="788" t="s">
        <v>342</v>
      </c>
      <c r="E254" s="789"/>
      <c r="F254" s="384"/>
      <c r="G254" s="384"/>
      <c r="H254" s="1296" t="s">
        <v>343</v>
      </c>
      <c r="I254" s="1297"/>
      <c r="J254" s="1297"/>
      <c r="K254" s="1297"/>
      <c r="L254" s="1298"/>
      <c r="M254" s="577"/>
    </row>
    <row r="255" spans="1:13" ht="29.45" customHeight="1" x14ac:dyDescent="0.25">
      <c r="A255" s="725"/>
      <c r="B255" s="725"/>
      <c r="C255" s="749" t="str">
        <f>IFERROR(VLOOKUP(D255,Référentiel_menu_déroulant!$C$41:$D$61,2,FALSE)," ")</f>
        <v xml:space="preserve"> </v>
      </c>
      <c r="D255" s="104"/>
      <c r="E255" s="750">
        <v>0</v>
      </c>
      <c r="F255" s="381"/>
      <c r="G255" s="381"/>
      <c r="H255" s="1309" t="s">
        <v>345</v>
      </c>
      <c r="I255" s="1310"/>
      <c r="J255" s="1311"/>
    </row>
    <row r="256" spans="1:13" ht="21" customHeight="1" x14ac:dyDescent="0.25">
      <c r="A256" s="725"/>
      <c r="B256" s="725"/>
      <c r="C256" s="749" t="str">
        <f>IFERROR(VLOOKUP(D256,Référentiel_menu_déroulant!$C$41:$D$61,2,FALSE)," ")</f>
        <v xml:space="preserve"> </v>
      </c>
      <c r="D256" s="104"/>
      <c r="E256" s="750">
        <v>0</v>
      </c>
      <c r="F256" s="600"/>
      <c r="G256" s="388"/>
      <c r="H256" s="31"/>
      <c r="I256"/>
      <c r="J256"/>
      <c r="K256"/>
      <c r="L256"/>
    </row>
    <row r="257" spans="3:12" ht="14.25" customHeight="1" x14ac:dyDescent="0.25">
      <c r="C257" s="749" t="str">
        <f>IFERROR(VLOOKUP(D257,Référentiel_menu_déroulant!$C$41:$D$61,2,FALSE)," ")</f>
        <v xml:space="preserve"> </v>
      </c>
      <c r="D257" s="104"/>
      <c r="E257" s="750">
        <v>0</v>
      </c>
      <c r="F257" s="601"/>
      <c r="G257" s="238"/>
      <c r="H257" s="603" t="s">
        <v>346</v>
      </c>
      <c r="I257" s="598"/>
      <c r="J257" s="598"/>
      <c r="K257" s="598"/>
      <c r="L257" s="67"/>
    </row>
    <row r="258" spans="3:12" ht="14.25" customHeight="1" x14ac:dyDescent="0.25">
      <c r="C258" s="749" t="str">
        <f>IFERROR(VLOOKUP(D258,Référentiel_menu_déroulant!$C$41:$D$61,2,FALSE)," ")</f>
        <v xml:space="preserve"> </v>
      </c>
      <c r="D258" s="104"/>
      <c r="E258" s="750">
        <v>0</v>
      </c>
      <c r="F258" s="601"/>
      <c r="G258" s="238"/>
    </row>
    <row r="259" spans="3:12" ht="14.25" customHeight="1" x14ac:dyDescent="0.25">
      <c r="C259" s="749" t="str">
        <f>IFERROR(VLOOKUP(D259,Référentiel_menu_déroulant!$C$41:$D$61,2,FALSE)," ")</f>
        <v xml:space="preserve"> </v>
      </c>
      <c r="D259" s="104"/>
      <c r="E259" s="750">
        <v>0</v>
      </c>
      <c r="F259" s="601"/>
      <c r="G259" s="238"/>
      <c r="H259" s="1317" t="s">
        <v>347</v>
      </c>
      <c r="I259" s="1318"/>
      <c r="J259" s="1318"/>
      <c r="K259" s="1318"/>
      <c r="L259" s="1319"/>
    </row>
    <row r="260" spans="3:12" ht="14.25" customHeight="1" x14ac:dyDescent="0.25">
      <c r="C260" s="749" t="str">
        <f>IFERROR(VLOOKUP(D260,Référentiel_menu_déroulant!$C$41:$D$61,2,FALSE)," ")</f>
        <v xml:space="preserve"> </v>
      </c>
      <c r="D260" s="104"/>
      <c r="E260" s="750">
        <v>0</v>
      </c>
      <c r="F260" s="601"/>
      <c r="G260" s="238"/>
      <c r="H260" s="1320"/>
      <c r="I260" s="1321"/>
      <c r="J260" s="1321"/>
      <c r="K260" s="1321"/>
      <c r="L260" s="1322"/>
    </row>
    <row r="261" spans="3:12" ht="14.25" customHeight="1" x14ac:dyDescent="0.25">
      <c r="C261" s="749" t="str">
        <f>IFERROR(VLOOKUP(D261,Référentiel_menu_déroulant!$C$41:$D$61,2,FALSE)," ")</f>
        <v xml:space="preserve"> </v>
      </c>
      <c r="D261" s="104"/>
      <c r="E261" s="750">
        <v>0</v>
      </c>
      <c r="F261" s="601"/>
      <c r="G261" s="238"/>
    </row>
    <row r="262" spans="3:12" ht="14.25" customHeight="1" x14ac:dyDescent="0.25">
      <c r="C262" s="749" t="str">
        <f>IFERROR(VLOOKUP(D262,Référentiel_menu_déroulant!$C$41:$D$61,2,FALSE)," ")</f>
        <v xml:space="preserve"> </v>
      </c>
      <c r="D262" s="104"/>
      <c r="E262" s="750">
        <v>0</v>
      </c>
      <c r="F262" s="601"/>
      <c r="G262" s="238"/>
    </row>
    <row r="263" spans="3:12" ht="14.25" customHeight="1" x14ac:dyDescent="0.25">
      <c r="C263" s="749" t="str">
        <f>IFERROR(VLOOKUP(D263,Référentiel_menu_déroulant!$C$41:$D$61,2,FALSE)," ")</f>
        <v xml:space="preserve"> </v>
      </c>
      <c r="D263" s="104"/>
      <c r="E263" s="751">
        <v>0</v>
      </c>
      <c r="F263" s="601"/>
      <c r="G263" s="238"/>
      <c r="H263" s="1323" t="s">
        <v>348</v>
      </c>
      <c r="I263" s="1324"/>
      <c r="J263" s="1324"/>
      <c r="K263" s="1324"/>
      <c r="L263" s="1325"/>
    </row>
    <row r="264" spans="3:12" ht="14.25" customHeight="1" x14ac:dyDescent="0.25">
      <c r="C264" s="749" t="str">
        <f>IFERROR(VLOOKUP(D264,Référentiel_menu_déroulant!$C$41:$D$61,2,FALSE)," ")</f>
        <v xml:space="preserve"> </v>
      </c>
      <c r="D264" s="104"/>
      <c r="E264" s="751">
        <v>0</v>
      </c>
      <c r="F264" s="601"/>
      <c r="G264" s="238"/>
      <c r="H264" s="1326"/>
      <c r="I264" s="1327"/>
      <c r="J264" s="1327"/>
      <c r="K264" s="1327"/>
      <c r="L264" s="1328"/>
    </row>
    <row r="265" spans="3:12" ht="14.25" customHeight="1" x14ac:dyDescent="0.25">
      <c r="C265" s="749"/>
      <c r="D265" s="616"/>
      <c r="E265" s="751">
        <v>0</v>
      </c>
      <c r="F265" s="601"/>
      <c r="G265" s="238"/>
    </row>
    <row r="266" spans="3:12" ht="14.25" customHeight="1" x14ac:dyDescent="0.25">
      <c r="C266" s="1064" t="s">
        <v>349</v>
      </c>
      <c r="D266" s="1234" t="s">
        <v>350</v>
      </c>
      <c r="E266" s="753">
        <f>+E135</f>
        <v>0</v>
      </c>
      <c r="F266" s="601"/>
      <c r="G266" s="238"/>
      <c r="H266" s="1332" t="s">
        <v>351</v>
      </c>
      <c r="I266" s="1332"/>
      <c r="J266" s="1332"/>
      <c r="K266" s="1332"/>
      <c r="L266" s="1332"/>
    </row>
    <row r="267" spans="3:12" ht="14.25" customHeight="1" x14ac:dyDescent="0.25">
      <c r="C267" s="1064" t="s">
        <v>349</v>
      </c>
      <c r="D267" s="1234" t="s">
        <v>352</v>
      </c>
      <c r="E267" s="754">
        <f>E152</f>
        <v>0</v>
      </c>
      <c r="F267" s="601"/>
      <c r="G267" s="238"/>
      <c r="H267" s="1332"/>
      <c r="I267" s="1332"/>
      <c r="J267" s="1332"/>
      <c r="K267" s="1332"/>
      <c r="L267" s="1332"/>
    </row>
    <row r="268" spans="3:12" ht="14.25" customHeight="1" x14ac:dyDescent="0.25">
      <c r="C268" s="1065" t="s">
        <v>349</v>
      </c>
      <c r="D268" s="1234" t="s">
        <v>353</v>
      </c>
      <c r="E268" s="755">
        <f>E159</f>
        <v>0</v>
      </c>
      <c r="F268" s="238"/>
      <c r="G268" s="238"/>
      <c r="H268" s="1332"/>
      <c r="I268" s="1332"/>
      <c r="J268" s="1332"/>
      <c r="K268" s="1332"/>
      <c r="L268" s="1332"/>
    </row>
    <row r="269" spans="3:12" ht="14.25" customHeight="1" thickBot="1" x14ac:dyDescent="0.3">
      <c r="C269" s="752" t="s">
        <v>349</v>
      </c>
      <c r="D269" s="1234" t="s">
        <v>354</v>
      </c>
      <c r="E269" s="756">
        <f>E166</f>
        <v>0</v>
      </c>
      <c r="F269" s="238"/>
      <c r="G269" s="238"/>
      <c r="H269" s="1332"/>
      <c r="I269" s="1332"/>
      <c r="J269" s="1332"/>
      <c r="K269" s="1332"/>
      <c r="L269" s="1332"/>
    </row>
    <row r="270" spans="3:12" ht="14.25" customHeight="1" x14ac:dyDescent="0.25">
      <c r="C270" s="757"/>
      <c r="D270" s="790" t="s">
        <v>355</v>
      </c>
      <c r="E270" s="791"/>
      <c r="F270" s="238"/>
      <c r="G270" s="238"/>
      <c r="H270" s="610"/>
      <c r="I270" s="610"/>
      <c r="J270" s="610"/>
      <c r="K270" s="610"/>
      <c r="L270" s="610"/>
    </row>
    <row r="271" spans="3:12" ht="14.25" customHeight="1" x14ac:dyDescent="0.25">
      <c r="C271" s="730"/>
      <c r="D271" s="104"/>
      <c r="E271" s="750">
        <v>0</v>
      </c>
      <c r="F271" s="238"/>
      <c r="G271" s="238"/>
      <c r="H271" s="610"/>
      <c r="I271" s="610"/>
      <c r="J271" s="610"/>
      <c r="K271" s="610"/>
      <c r="L271" s="610"/>
    </row>
    <row r="272" spans="3:12" ht="14.25" customHeight="1" x14ac:dyDescent="0.25">
      <c r="C272" s="730"/>
      <c r="D272" s="104"/>
      <c r="E272" s="750">
        <v>0</v>
      </c>
      <c r="F272" s="389"/>
      <c r="G272" s="389"/>
      <c r="H272" s="938"/>
      <c r="I272" s="938"/>
      <c r="J272" s="938"/>
      <c r="K272" s="938"/>
      <c r="L272" s="938"/>
    </row>
    <row r="273" spans="2:12" ht="14.25" customHeight="1" x14ac:dyDescent="0.25">
      <c r="C273" s="730"/>
      <c r="D273" s="104"/>
      <c r="E273" s="750">
        <v>0</v>
      </c>
      <c r="F273" s="238"/>
      <c r="G273" s="238"/>
    </row>
    <row r="274" spans="2:12" ht="14.25" customHeight="1" x14ac:dyDescent="0.25">
      <c r="C274" s="730"/>
      <c r="D274" s="104"/>
      <c r="E274" s="750">
        <v>0</v>
      </c>
      <c r="F274" s="238"/>
      <c r="G274" s="238"/>
      <c r="H274" s="935" t="s">
        <v>359</v>
      </c>
      <c r="I274" s="936"/>
      <c r="J274" s="936"/>
      <c r="K274" s="936"/>
      <c r="L274" s="937"/>
    </row>
    <row r="275" spans="2:12" ht="14.25" customHeight="1" x14ac:dyDescent="0.25">
      <c r="C275" s="730"/>
      <c r="D275" s="104"/>
      <c r="E275" s="750">
        <v>0</v>
      </c>
      <c r="F275" s="238"/>
      <c r="G275" s="238"/>
      <c r="H275" s="440"/>
      <c r="I275" s="31" t="s">
        <v>360</v>
      </c>
      <c r="L275" s="441"/>
    </row>
    <row r="276" spans="2:12" ht="14.25" customHeight="1" x14ac:dyDescent="0.25">
      <c r="C276" s="730"/>
      <c r="D276" s="104"/>
      <c r="E276" s="750">
        <v>0</v>
      </c>
      <c r="F276" s="238"/>
      <c r="G276" s="238"/>
      <c r="H276" s="426"/>
      <c r="I276" s="1330" t="s">
        <v>361</v>
      </c>
      <c r="J276" s="1330"/>
      <c r="K276" s="1330"/>
      <c r="L276" s="939"/>
    </row>
    <row r="277" spans="2:12" ht="14.25" customHeight="1" thickBot="1" x14ac:dyDescent="0.3">
      <c r="C277" s="730"/>
      <c r="D277" s="608"/>
      <c r="E277" s="751">
        <v>0</v>
      </c>
      <c r="F277" s="238"/>
      <c r="G277" s="238"/>
      <c r="H277" s="426"/>
      <c r="I277" s="1330"/>
      <c r="J277" s="1330"/>
      <c r="K277" s="1330"/>
      <c r="L277" s="940"/>
    </row>
    <row r="278" spans="2:12" ht="14.25" customHeight="1" x14ac:dyDescent="0.25">
      <c r="C278" s="757"/>
      <c r="D278" s="792" t="s">
        <v>362</v>
      </c>
      <c r="E278" s="793"/>
      <c r="F278" s="390"/>
      <c r="G278" s="390"/>
      <c r="H278" s="427"/>
      <c r="I278" s="421" t="s">
        <v>363</v>
      </c>
      <c r="J278" s="421"/>
      <c r="K278" s="421"/>
      <c r="L278" s="630"/>
    </row>
    <row r="279" spans="2:12" ht="14.25" customHeight="1" x14ac:dyDescent="0.25">
      <c r="C279" s="730"/>
      <c r="D279" s="104"/>
      <c r="E279" s="750">
        <v>0</v>
      </c>
      <c r="F279" s="238"/>
      <c r="G279" s="238"/>
    </row>
    <row r="280" spans="2:12" ht="14.25" customHeight="1" x14ac:dyDescent="0.25">
      <c r="C280" s="730"/>
      <c r="D280" s="104"/>
      <c r="E280" s="750">
        <v>0</v>
      </c>
      <c r="F280" s="238"/>
      <c r="G280" s="238"/>
      <c r="H280" s="938"/>
      <c r="I280" s="938"/>
      <c r="J280" s="938"/>
      <c r="K280" s="938"/>
      <c r="L280" s="938"/>
    </row>
    <row r="281" spans="2:12" ht="14.25" customHeight="1" x14ac:dyDescent="0.25">
      <c r="C281" s="730"/>
      <c r="D281" s="104"/>
      <c r="E281" s="750">
        <v>0</v>
      </c>
      <c r="F281" s="238"/>
      <c r="G281" s="238"/>
      <c r="H281" s="31"/>
    </row>
    <row r="282" spans="2:12" ht="14.25" customHeight="1" x14ac:dyDescent="0.25">
      <c r="C282" s="730"/>
      <c r="D282" s="104"/>
      <c r="E282" s="750">
        <v>0</v>
      </c>
      <c r="F282" s="238"/>
      <c r="G282" s="238"/>
      <c r="H282" s="31"/>
    </row>
    <row r="283" spans="2:12" ht="14.25" customHeight="1" thickBot="1" x14ac:dyDescent="0.3">
      <c r="C283" s="758"/>
      <c r="D283" s="1254"/>
      <c r="E283" s="759">
        <v>0</v>
      </c>
      <c r="F283" s="238"/>
      <c r="G283" s="238"/>
      <c r="H283" s="31"/>
    </row>
    <row r="284" spans="2:12" ht="37.5" customHeight="1" thickBot="1" x14ac:dyDescent="0.3">
      <c r="C284" s="760"/>
      <c r="D284" s="761" t="s">
        <v>367</v>
      </c>
      <c r="E284" s="800" t="s">
        <v>51</v>
      </c>
      <c r="F284" s="381"/>
      <c r="G284" s="381"/>
      <c r="H284" s="1331" t="s">
        <v>368</v>
      </c>
      <c r="I284" s="1331"/>
      <c r="J284" s="1331"/>
      <c r="K284" s="1331"/>
      <c r="L284" s="1331"/>
    </row>
    <row r="285" spans="2:12" ht="39" customHeight="1" x14ac:dyDescent="0.25">
      <c r="C285" s="730"/>
      <c r="D285" s="1259" t="s">
        <v>364</v>
      </c>
      <c r="E285" s="1258" t="str">
        <f>IFERROR('CALCUL - BCAE8'!C100,"-")</f>
        <v>-</v>
      </c>
      <c r="H285" s="1329" t="str">
        <f>IF(E285="BCAE 8 en Ordre","Vous êtes en ordre par rapport à la BCAE8","Attention, vous ne respectez pas les critères de la BCAE8 : en plus de ne pas être éligible à cet éco-régime, vous pourriez également être pénalisé pour non respect de la conditionnalité.")</f>
        <v>Attention, vous ne respectez pas les critères de la BCAE8 : en plus de ne pas être éligible à cet éco-régime, vous pourriez également être pénalisé pour non respect de la conditionnalité.</v>
      </c>
      <c r="I285" s="1329"/>
      <c r="J285" s="1329"/>
      <c r="K285" s="1329"/>
      <c r="L285" s="1329"/>
    </row>
    <row r="286" spans="2:12" ht="42.75" customHeight="1" x14ac:dyDescent="0.25">
      <c r="C286" s="730"/>
      <c r="D286" s="1260" t="s">
        <v>365</v>
      </c>
      <c r="E286" s="1257" t="str">
        <f>IFERROR('CALCUL - ER ME'!B4,"-")</f>
        <v>-</v>
      </c>
      <c r="H286" s="1331" t="s">
        <v>366</v>
      </c>
      <c r="I286" s="1331"/>
      <c r="J286" s="1331"/>
      <c r="K286" s="1331"/>
      <c r="L286" s="1331"/>
    </row>
    <row r="287" spans="2:12" ht="14.25" customHeight="1" thickBot="1" x14ac:dyDescent="0.3">
      <c r="B287" s="1286"/>
      <c r="C287" s="1255"/>
      <c r="D287" s="1261" t="s">
        <v>1448</v>
      </c>
      <c r="E287" s="1256">
        <f>E247</f>
        <v>0</v>
      </c>
      <c r="F287" s="381"/>
      <c r="G287" s="381"/>
      <c r="H287" s="603" t="s">
        <v>1441</v>
      </c>
      <c r="I287" s="611"/>
      <c r="J287" s="611"/>
      <c r="K287" s="611"/>
      <c r="L287" s="612"/>
    </row>
    <row r="288" spans="2:12" ht="14.25" customHeight="1" thickBot="1" x14ac:dyDescent="0.3">
      <c r="F288" s="387"/>
      <c r="G288" s="387"/>
      <c r="H288" s="1242"/>
      <c r="I288" s="1242"/>
      <c r="J288" s="1242"/>
      <c r="K288" s="1242"/>
      <c r="L288" s="1242"/>
    </row>
    <row r="289" spans="2:13" ht="45.75" customHeight="1" x14ac:dyDescent="0.25">
      <c r="C289" s="1032"/>
      <c r="D289" s="1031" t="s">
        <v>369</v>
      </c>
      <c r="E289" s="1033"/>
      <c r="F289" s="381"/>
      <c r="G289" s="381"/>
      <c r="H289" s="1312"/>
      <c r="I289" s="1312"/>
      <c r="J289" s="1312"/>
      <c r="K289" s="1312"/>
      <c r="L289" s="1312"/>
    </row>
    <row r="290" spans="2:13" ht="28.5" customHeight="1" thickBot="1" x14ac:dyDescent="0.3">
      <c r="C290" s="1034"/>
      <c r="D290" s="761" t="s">
        <v>370</v>
      </c>
      <c r="E290" s="1074" t="s">
        <v>51</v>
      </c>
      <c r="H290" s="1300" t="s">
        <v>371</v>
      </c>
      <c r="I290" s="1301"/>
      <c r="J290" s="1302"/>
    </row>
    <row r="291" spans="2:13" ht="21.75" customHeight="1" x14ac:dyDescent="0.25">
      <c r="B291" s="1286"/>
      <c r="C291" s="1075"/>
      <c r="D291" s="214" t="s">
        <v>372</v>
      </c>
      <c r="E291" s="1073">
        <f>SUM(E292:E296)</f>
        <v>0</v>
      </c>
      <c r="H291" s="1313" t="s">
        <v>373</v>
      </c>
      <c r="I291" s="1314"/>
      <c r="J291" s="1314"/>
      <c r="K291" s="1314"/>
      <c r="L291" s="1315"/>
    </row>
    <row r="292" spans="2:13" ht="14.25" customHeight="1" x14ac:dyDescent="0.25">
      <c r="B292" s="1286"/>
      <c r="D292" s="1029" t="s">
        <v>374</v>
      </c>
      <c r="E292" s="750">
        <v>0</v>
      </c>
    </row>
    <row r="293" spans="2:13" ht="14.25" customHeight="1" x14ac:dyDescent="0.25">
      <c r="B293" s="1286"/>
      <c r="D293" s="1029" t="s">
        <v>375</v>
      </c>
      <c r="E293" s="750">
        <v>0</v>
      </c>
    </row>
    <row r="294" spans="2:13" ht="28.5" customHeight="1" x14ac:dyDescent="0.25">
      <c r="B294" s="1286"/>
      <c r="D294" s="1029" t="s">
        <v>376</v>
      </c>
      <c r="E294" s="750">
        <v>0</v>
      </c>
      <c r="H294" s="1316" t="s">
        <v>377</v>
      </c>
      <c r="I294" s="1316"/>
      <c r="J294" s="1316"/>
      <c r="K294" s="1316"/>
      <c r="L294" s="1316"/>
    </row>
    <row r="295" spans="2:13" ht="14.25" customHeight="1" x14ac:dyDescent="0.25">
      <c r="B295" s="1286"/>
      <c r="D295" s="1029" t="s">
        <v>378</v>
      </c>
      <c r="E295" s="750">
        <v>0</v>
      </c>
      <c r="H295" s="1295" t="s">
        <v>379</v>
      </c>
      <c r="I295" s="1295"/>
      <c r="J295" s="1295"/>
      <c r="K295" s="1295"/>
      <c r="L295" s="1295"/>
    </row>
    <row r="296" spans="2:13" ht="14.25" customHeight="1" thickBot="1" x14ac:dyDescent="0.3">
      <c r="B296" s="1286"/>
      <c r="D296" s="1035" t="s">
        <v>380</v>
      </c>
      <c r="E296" s="759">
        <v>0</v>
      </c>
    </row>
    <row r="297" spans="2:13" ht="14.25" customHeight="1" x14ac:dyDescent="0.25">
      <c r="C297" s="956"/>
    </row>
    <row r="298" spans="2:13" ht="14.25" customHeight="1" thickBot="1" x14ac:dyDescent="0.3"/>
    <row r="299" spans="2:13" ht="44.25" customHeight="1" x14ac:dyDescent="0.25">
      <c r="C299" s="1032"/>
      <c r="D299" s="1031" t="s">
        <v>381</v>
      </c>
      <c r="E299" s="1033"/>
      <c r="H299" s="1300" t="s">
        <v>382</v>
      </c>
      <c r="I299" s="1301"/>
      <c r="J299" s="1302"/>
    </row>
    <row r="300" spans="2:13" ht="41.25" customHeight="1" thickBot="1" x14ac:dyDescent="0.3">
      <c r="C300" s="1076"/>
      <c r="D300" s="1068" t="s">
        <v>383</v>
      </c>
      <c r="E300" s="1077" t="s">
        <v>51</v>
      </c>
      <c r="H300" s="1294" t="s">
        <v>384</v>
      </c>
      <c r="I300" s="1294"/>
      <c r="J300" s="1294"/>
      <c r="K300" s="1294"/>
      <c r="L300" s="1294"/>
    </row>
    <row r="301" spans="2:13" ht="33.75" customHeight="1" thickBot="1" x14ac:dyDescent="0.4">
      <c r="B301" s="1286"/>
      <c r="D301" s="1080" t="s">
        <v>385</v>
      </c>
      <c r="E301" s="1079">
        <v>0</v>
      </c>
      <c r="H301" s="1295" t="s">
        <v>386</v>
      </c>
      <c r="I301" s="1295"/>
      <c r="J301" s="1295"/>
      <c r="K301" s="1295"/>
      <c r="L301" s="1295"/>
      <c r="M301" s="1095"/>
    </row>
    <row r="302" spans="2:13" ht="14.25" customHeight="1" x14ac:dyDescent="0.25">
      <c r="B302" s="1286"/>
      <c r="D302" s="1069" t="s">
        <v>387</v>
      </c>
      <c r="E302" s="1078">
        <f>E6</f>
        <v>0</v>
      </c>
      <c r="H302" s="1295" t="s">
        <v>388</v>
      </c>
      <c r="I302" s="1295"/>
      <c r="J302" s="1295"/>
      <c r="K302" s="1295"/>
      <c r="L302" s="1295"/>
      <c r="M302" s="1095"/>
    </row>
    <row r="303" spans="2:13" ht="30" customHeight="1" thickBot="1" x14ac:dyDescent="0.3">
      <c r="B303" s="1286"/>
      <c r="C303" s="980"/>
      <c r="D303" s="1071" t="s">
        <v>389</v>
      </c>
      <c r="E303" s="1072">
        <f>E302-E301</f>
        <v>0</v>
      </c>
      <c r="H303" s="1295" t="s">
        <v>390</v>
      </c>
      <c r="I303" s="1295"/>
      <c r="J303" s="1295"/>
      <c r="K303" s="1295"/>
      <c r="L303" s="1295"/>
      <c r="M303" s="1095"/>
    </row>
    <row r="304" spans="2:13" ht="14.25" customHeight="1" thickBot="1" x14ac:dyDescent="0.3"/>
    <row r="305" spans="2:18" ht="43.5" customHeight="1" x14ac:dyDescent="0.25">
      <c r="C305" s="1032"/>
      <c r="D305" s="1031" t="s">
        <v>391</v>
      </c>
      <c r="E305" s="1033"/>
      <c r="H305" s="1030" t="s">
        <v>392</v>
      </c>
      <c r="I305" s="1081"/>
      <c r="J305" s="1082"/>
    </row>
    <row r="306" spans="2:18" ht="14.25" customHeight="1" thickBot="1" x14ac:dyDescent="0.3">
      <c r="C306" s="1105"/>
      <c r="D306" s="1104" t="s">
        <v>393</v>
      </c>
      <c r="E306" s="1077" t="s">
        <v>51</v>
      </c>
      <c r="H306" s="1291" t="s">
        <v>394</v>
      </c>
      <c r="I306" s="1292"/>
      <c r="J306" s="1292"/>
      <c r="K306" s="1292"/>
      <c r="L306" s="1293"/>
    </row>
    <row r="307" spans="2:18" ht="14.25" customHeight="1" thickTop="1" thickBot="1" x14ac:dyDescent="0.3">
      <c r="D307" s="1103"/>
      <c r="E307" s="1103"/>
    </row>
    <row r="308" spans="2:18" ht="37.5" customHeight="1" thickBot="1" x14ac:dyDescent="0.3">
      <c r="C308" s="1032"/>
      <c r="D308" s="1031" t="s">
        <v>395</v>
      </c>
      <c r="E308" s="1033"/>
      <c r="H308" s="1030" t="s">
        <v>396</v>
      </c>
      <c r="I308" s="1081"/>
      <c r="J308" s="1082"/>
    </row>
    <row r="309" spans="2:18" ht="14.25" customHeight="1" x14ac:dyDescent="0.25">
      <c r="C309" s="1486" t="s">
        <v>397</v>
      </c>
      <c r="D309" s="1487"/>
      <c r="E309" s="1488"/>
      <c r="F309"/>
      <c r="G309"/>
    </row>
    <row r="310" spans="2:18" ht="14.25" customHeight="1" x14ac:dyDescent="0.25">
      <c r="B310" s="725">
        <f>IF(E310="oui",1,0)</f>
        <v>0</v>
      </c>
      <c r="C310" s="1185"/>
      <c r="D310" s="637" t="s">
        <v>398</v>
      </c>
      <c r="E310" s="1205" t="s">
        <v>51</v>
      </c>
      <c r="F310"/>
      <c r="G310"/>
      <c r="H310" s="1484" t="s">
        <v>399</v>
      </c>
      <c r="I310" s="1484"/>
      <c r="J310" s="1484"/>
      <c r="K310" s="1484"/>
      <c r="L310" s="1484"/>
      <c r="M310" s="1194"/>
      <c r="N310" s="1194"/>
      <c r="O310" s="1194"/>
      <c r="P310" s="1194"/>
      <c r="Q310" s="1194"/>
      <c r="R310" s="1194"/>
    </row>
    <row r="311" spans="2:18" ht="24.75" customHeight="1" x14ac:dyDescent="0.25">
      <c r="B311" s="725">
        <f t="shared" ref="B311:B313" si="10">IF(E311="oui",1,0)</f>
        <v>0</v>
      </c>
      <c r="C311" s="1185"/>
      <c r="D311" s="637" t="s">
        <v>400</v>
      </c>
      <c r="E311" s="1205" t="s">
        <v>51</v>
      </c>
      <c r="F311"/>
      <c r="G311"/>
      <c r="H311" s="1489" t="s">
        <v>401</v>
      </c>
      <c r="I311" s="1489"/>
      <c r="J311" s="1489"/>
      <c r="K311" s="1489"/>
      <c r="L311" s="1489"/>
      <c r="M311" s="619"/>
      <c r="N311" s="619"/>
      <c r="O311" s="619"/>
      <c r="P311" s="619"/>
      <c r="Q311" s="619"/>
      <c r="R311" s="619"/>
    </row>
    <row r="312" spans="2:18" ht="45.75" customHeight="1" x14ac:dyDescent="0.25">
      <c r="B312" s="725">
        <f t="shared" si="10"/>
        <v>0</v>
      </c>
      <c r="C312" s="1185"/>
      <c r="D312" s="637" t="s">
        <v>402</v>
      </c>
      <c r="E312" s="1077" t="s">
        <v>51</v>
      </c>
      <c r="F312"/>
      <c r="G312"/>
      <c r="H312" s="1484" t="s">
        <v>403</v>
      </c>
      <c r="I312" s="1484"/>
      <c r="J312" s="1484"/>
      <c r="K312" s="1484"/>
      <c r="L312" s="1484"/>
      <c r="M312" s="950"/>
      <c r="N312" s="950"/>
      <c r="O312" s="950"/>
      <c r="P312" s="950"/>
      <c r="Q312" s="950"/>
      <c r="R312" s="950"/>
    </row>
    <row r="313" spans="2:18" ht="11.25" hidden="1" customHeight="1" x14ac:dyDescent="0.25">
      <c r="B313" s="725">
        <f t="shared" si="10"/>
        <v>0</v>
      </c>
      <c r="C313" s="1185"/>
      <c r="D313" s="1134" t="s">
        <v>404</v>
      </c>
      <c r="E313" s="1077" t="s">
        <v>51</v>
      </c>
      <c r="F313"/>
      <c r="G313"/>
      <c r="H313" s="1481" t="s">
        <v>405</v>
      </c>
      <c r="I313" s="1482"/>
      <c r="J313" s="1482"/>
      <c r="K313" s="1482"/>
      <c r="L313" s="1483"/>
      <c r="M313" s="619"/>
      <c r="N313" s="619"/>
      <c r="O313" s="619"/>
      <c r="P313" s="619"/>
      <c r="Q313" s="619"/>
      <c r="R313" s="619"/>
    </row>
    <row r="314" spans="2:18" ht="27.75" customHeight="1" thickBot="1" x14ac:dyDescent="0.3">
      <c r="B314" s="725">
        <f>IF(B310*SUM(B311:B313)&gt;=1,1,0)</f>
        <v>0</v>
      </c>
      <c r="C314" s="1185"/>
      <c r="D314" s="1134" t="s">
        <v>406</v>
      </c>
      <c r="E314" s="1036" t="s">
        <v>51</v>
      </c>
      <c r="F314"/>
      <c r="G314"/>
      <c r="H314" s="1484" t="s">
        <v>407</v>
      </c>
      <c r="I314" s="1484"/>
      <c r="J314" s="1484"/>
      <c r="K314" s="1484"/>
      <c r="L314" s="1484"/>
      <c r="M314" s="1194"/>
      <c r="N314" s="1194"/>
      <c r="O314" s="1194"/>
      <c r="P314" s="1194"/>
      <c r="Q314" s="1194"/>
      <c r="R314" s="1194"/>
    </row>
    <row r="315" spans="2:18" ht="14.25" customHeight="1" thickBot="1" x14ac:dyDescent="0.3">
      <c r="C315" s="1185"/>
      <c r="D315" s="1183" t="s">
        <v>408</v>
      </c>
      <c r="E315" s="1191"/>
      <c r="F315" s="1192"/>
      <c r="G315" s="459"/>
    </row>
    <row r="316" spans="2:18" ht="14.25" customHeight="1" x14ac:dyDescent="0.25">
      <c r="C316" s="480"/>
      <c r="D316" s="1136" t="s">
        <v>409</v>
      </c>
      <c r="E316" s="1206"/>
      <c r="F316" s="1193" t="s">
        <v>410</v>
      </c>
      <c r="G316" s="1207" t="s">
        <v>411</v>
      </c>
    </row>
    <row r="317" spans="2:18" ht="14.25" customHeight="1" x14ac:dyDescent="0.25">
      <c r="C317" s="480"/>
      <c r="D317" s="1190" t="s">
        <v>412</v>
      </c>
      <c r="E317" s="1146">
        <f ca="1">IF($B$314&gt;0,"-",BIO!D12)</f>
        <v>0</v>
      </c>
      <c r="F317" s="1147">
        <v>0</v>
      </c>
      <c r="G317" s="1187">
        <f ca="1">IF($B$314&gt;0,"-",BIO!F12)</f>
        <v>0</v>
      </c>
      <c r="I317" s="1484" t="s">
        <v>413</v>
      </c>
      <c r="J317" s="1484"/>
      <c r="K317" s="1484"/>
      <c r="L317" s="1484"/>
      <c r="M317" s="1194"/>
    </row>
    <row r="318" spans="2:18" ht="14.25" customHeight="1" x14ac:dyDescent="0.25">
      <c r="C318" s="480"/>
      <c r="D318" s="1190" t="s">
        <v>414</v>
      </c>
      <c r="E318" s="1146" t="str">
        <f>IF($B$314=0,"-",BIO!D13)</f>
        <v>-</v>
      </c>
      <c r="F318" s="1147">
        <v>0</v>
      </c>
      <c r="G318" s="1187" t="str">
        <f>IF($B$314=0,"-",BIO!F13)</f>
        <v>-</v>
      </c>
    </row>
    <row r="319" spans="2:18" ht="14.25" customHeight="1" x14ac:dyDescent="0.25">
      <c r="C319" s="480"/>
      <c r="D319" s="1190" t="s">
        <v>415</v>
      </c>
      <c r="E319" s="1146" t="str">
        <f>IF($B$314=0,"-",BIO!D14)</f>
        <v>-</v>
      </c>
      <c r="F319" s="1147">
        <v>5</v>
      </c>
      <c r="G319" s="1187" t="str">
        <f>IF($B$314=0,"-",BIO!F14)</f>
        <v>-</v>
      </c>
    </row>
    <row r="320" spans="2:18" ht="14.25" customHeight="1" x14ac:dyDescent="0.25">
      <c r="C320" s="480"/>
      <c r="D320" s="1190" t="s">
        <v>416</v>
      </c>
      <c r="E320" s="1146" t="str">
        <f>IF($B$314=0,"-",BIO!D15)</f>
        <v>-</v>
      </c>
      <c r="F320" s="1147">
        <v>0</v>
      </c>
      <c r="G320" s="1187" t="str">
        <f>IF($B$314=0,"-",BIO!F15)</f>
        <v>-</v>
      </c>
      <c r="I320" s="1214" t="s">
        <v>1436</v>
      </c>
      <c r="J320" s="1215" t="str">
        <f ca="1">'3. VOS RESULTATS'!D286</f>
        <v>OK</v>
      </c>
    </row>
    <row r="321" spans="3:11" ht="14.25" customHeight="1" thickBot="1" x14ac:dyDescent="0.3">
      <c r="C321" s="480"/>
      <c r="D321" s="1137" t="s">
        <v>417</v>
      </c>
      <c r="E321" s="1146" t="str">
        <f>IF($B$314=0,"-",BIO!D16)</f>
        <v>-</v>
      </c>
      <c r="F321" s="1220"/>
      <c r="G321" s="1229" t="str">
        <f>E321</f>
        <v>-</v>
      </c>
      <c r="I321" s="1214" t="s">
        <v>418</v>
      </c>
      <c r="J321" s="1215" t="str">
        <f ca="1">'3. VOS RESULTATS'!D287</f>
        <v>OK</v>
      </c>
    </row>
    <row r="322" spans="3:11" ht="28.5" customHeight="1" x14ac:dyDescent="0.25">
      <c r="C322" s="480"/>
      <c r="D322" s="1208" t="s">
        <v>419</v>
      </c>
      <c r="E322" s="1209" t="s">
        <v>420</v>
      </c>
      <c r="F322" s="245"/>
      <c r="G322" s="57"/>
      <c r="I322" s="1217" t="s">
        <v>421</v>
      </c>
      <c r="J322" s="1235" t="str">
        <f ca="1">IFERROR('3. VOS RESULTATS'!D288,"-")</f>
        <v>Vous pouvez bénéficier de l'aide</v>
      </c>
    </row>
    <row r="323" spans="3:11" ht="14.25" customHeight="1" x14ac:dyDescent="0.25">
      <c r="C323" s="480"/>
      <c r="D323" s="1138" t="s">
        <v>422</v>
      </c>
      <c r="E323" s="1221" t="str">
        <f>IF(E310="non","-",BIO!D53)</f>
        <v>-</v>
      </c>
      <c r="F323"/>
      <c r="G323"/>
    </row>
    <row r="324" spans="3:11" ht="14.25" customHeight="1" x14ac:dyDescent="0.25">
      <c r="C324" s="480"/>
      <c r="D324" s="1138" t="s">
        <v>423</v>
      </c>
      <c r="E324" s="1188" t="str">
        <f>IF(E310="non","-",BIO!D74)</f>
        <v>-</v>
      </c>
      <c r="F324"/>
      <c r="G324"/>
    </row>
    <row r="325" spans="3:11" ht="14.25" customHeight="1" thickBot="1" x14ac:dyDescent="0.3">
      <c r="C325" s="459"/>
      <c r="D325" s="1186" t="s">
        <v>424</v>
      </c>
      <c r="E325" s="1189" t="str">
        <f>IF(E310="non","-",BIO!D77)</f>
        <v>-</v>
      </c>
      <c r="F325" s="54">
        <f>IF(E325&lt;0.6,1,0)</f>
        <v>0</v>
      </c>
      <c r="G325"/>
      <c r="H325" s="1478" t="str">
        <f>IF(E325&lt;0.6,"Une prime au prorata sera appliquée à vos surfaces en prairie(UGB/SF&lt;0.6)","Prorata prairies non applicable (UGB/SF&gt;0.6)")</f>
        <v>Prorata prairies non applicable (UGB/SF&gt;0.6)</v>
      </c>
      <c r="I325" s="1479"/>
      <c r="J325" s="1480"/>
      <c r="K325" s="440"/>
    </row>
  </sheetData>
  <sortState xmlns:xlrd2="http://schemas.microsoft.com/office/spreadsheetml/2017/richdata2" ref="D279:E283">
    <sortCondition ref="D279:D283"/>
  </sortState>
  <mergeCells count="132">
    <mergeCell ref="H325:J325"/>
    <mergeCell ref="H313:L313"/>
    <mergeCell ref="I317:L317"/>
    <mergeCell ref="D1:F1"/>
    <mergeCell ref="C309:E309"/>
    <mergeCell ref="H310:L310"/>
    <mergeCell ref="H311:L311"/>
    <mergeCell ref="H312:L312"/>
    <mergeCell ref="H314:L314"/>
    <mergeCell ref="H74:L74"/>
    <mergeCell ref="H89:L91"/>
    <mergeCell ref="F37:G37"/>
    <mergeCell ref="F38:G38"/>
    <mergeCell ref="F39:G39"/>
    <mergeCell ref="F32:G32"/>
    <mergeCell ref="I11:M11"/>
    <mergeCell ref="I24:M24"/>
    <mergeCell ref="I28:M28"/>
    <mergeCell ref="I26:M26"/>
    <mergeCell ref="I30:M30"/>
    <mergeCell ref="I22:M22"/>
    <mergeCell ref="I33:M33"/>
    <mergeCell ref="I14:M14"/>
    <mergeCell ref="E8:F8"/>
    <mergeCell ref="E9:F9"/>
    <mergeCell ref="E14:F14"/>
    <mergeCell ref="E6:F6"/>
    <mergeCell ref="E7:F7"/>
    <mergeCell ref="E10:F10"/>
    <mergeCell ref="F40:G40"/>
    <mergeCell ref="I40:M40"/>
    <mergeCell ref="E19:F19"/>
    <mergeCell ref="F33:G33"/>
    <mergeCell ref="F34:G34"/>
    <mergeCell ref="F35:G35"/>
    <mergeCell ref="E29:F29"/>
    <mergeCell ref="E30:F30"/>
    <mergeCell ref="E31:F31"/>
    <mergeCell ref="E21:G21"/>
    <mergeCell ref="F36:G36"/>
    <mergeCell ref="I6:M6"/>
    <mergeCell ref="I7:M7"/>
    <mergeCell ref="N204:P205"/>
    <mergeCell ref="H195:L196"/>
    <mergeCell ref="H193:L193"/>
    <mergeCell ref="H123:L123"/>
    <mergeCell ref="H118:L118"/>
    <mergeCell ref="H146:L146"/>
    <mergeCell ref="H137:L137"/>
    <mergeCell ref="H132:L132"/>
    <mergeCell ref="H162:L163"/>
    <mergeCell ref="H173:L173"/>
    <mergeCell ref="H164:L164"/>
    <mergeCell ref="H148:L148"/>
    <mergeCell ref="H151:L151"/>
    <mergeCell ref="H166:L166"/>
    <mergeCell ref="H182:L182"/>
    <mergeCell ref="H203:J203"/>
    <mergeCell ref="H158:L158"/>
    <mergeCell ref="H187:L187"/>
    <mergeCell ref="H184:L186"/>
    <mergeCell ref="H159:L159"/>
    <mergeCell ref="H167:L167"/>
    <mergeCell ref="H104:L105"/>
    <mergeCell ref="I110:L110"/>
    <mergeCell ref="H42:L42"/>
    <mergeCell ref="H156:L156"/>
    <mergeCell ref="I10:M10"/>
    <mergeCell ref="H155:L155"/>
    <mergeCell ref="I19:M19"/>
    <mergeCell ref="H149:L149"/>
    <mergeCell ref="H152:L152"/>
    <mergeCell ref="O207:P207"/>
    <mergeCell ref="O208:P208"/>
    <mergeCell ref="O209:P209"/>
    <mergeCell ref="H213:L214"/>
    <mergeCell ref="H216:L216"/>
    <mergeCell ref="H218:L218"/>
    <mergeCell ref="P33:T35"/>
    <mergeCell ref="H134:L134"/>
    <mergeCell ref="H53:L53"/>
    <mergeCell ref="I60:J60"/>
    <mergeCell ref="I62:J62"/>
    <mergeCell ref="I63:J63"/>
    <mergeCell ref="I58:J58"/>
    <mergeCell ref="I59:J59"/>
    <mergeCell ref="H44:L46"/>
    <mergeCell ref="H48:L49"/>
    <mergeCell ref="H81:L82"/>
    <mergeCell ref="H78:L79"/>
    <mergeCell ref="I37:M38"/>
    <mergeCell ref="H129:L129"/>
    <mergeCell ref="I57:J57"/>
    <mergeCell ref="H113:L113"/>
    <mergeCell ref="H101:L101"/>
    <mergeCell ref="H106:L106"/>
    <mergeCell ref="I276:K277"/>
    <mergeCell ref="H286:L286"/>
    <mergeCell ref="H284:L284"/>
    <mergeCell ref="H266:L269"/>
    <mergeCell ref="H208:L208"/>
    <mergeCell ref="H209:L209"/>
    <mergeCell ref="H246:L246"/>
    <mergeCell ref="H231:L231"/>
    <mergeCell ref="H230:L230"/>
    <mergeCell ref="H221:L221"/>
    <mergeCell ref="H222:L222"/>
    <mergeCell ref="H223:L223"/>
    <mergeCell ref="H306:L306"/>
    <mergeCell ref="H300:L300"/>
    <mergeCell ref="H301:L301"/>
    <mergeCell ref="H302:L302"/>
    <mergeCell ref="H303:L303"/>
    <mergeCell ref="H254:L254"/>
    <mergeCell ref="H211:L211"/>
    <mergeCell ref="H204:L204"/>
    <mergeCell ref="H206:L206"/>
    <mergeCell ref="H207:L207"/>
    <mergeCell ref="H299:J299"/>
    <mergeCell ref="H290:J290"/>
    <mergeCell ref="H220:J220"/>
    <mergeCell ref="H229:J229"/>
    <mergeCell ref="H244:J244"/>
    <mergeCell ref="H255:J255"/>
    <mergeCell ref="H253:J253"/>
    <mergeCell ref="H289:L289"/>
    <mergeCell ref="H291:L291"/>
    <mergeCell ref="H294:L294"/>
    <mergeCell ref="H295:L295"/>
    <mergeCell ref="H259:L260"/>
    <mergeCell ref="H263:L264"/>
    <mergeCell ref="H285:L285"/>
  </mergeCells>
  <phoneticPr fontId="7" type="noConversion"/>
  <conditionalFormatting sqref="D257">
    <cfRule type="expression" dxfId="108" priority="196">
      <formula>"$E$186&gt;0"</formula>
    </cfRule>
  </conditionalFormatting>
  <conditionalFormatting sqref="F260:G260">
    <cfRule type="expression" priority="191">
      <formula>ISBLANK($F$261)</formula>
    </cfRule>
  </conditionalFormatting>
  <conditionalFormatting sqref="I30:M30">
    <cfRule type="expression" dxfId="107" priority="189">
      <formula>OR($E$30&gt;100,$E$30&lt;100)</formula>
    </cfRule>
  </conditionalFormatting>
  <conditionalFormatting sqref="H285">
    <cfRule type="expression" dxfId="106" priority="187">
      <formula>$E$285="Non"</formula>
    </cfRule>
  </conditionalFormatting>
  <conditionalFormatting sqref="C44:C46 C75:C76 C80:C99">
    <cfRule type="expression" dxfId="105" priority="183">
      <formula>AND($A44=FALSE,$E44&gt;0)</formula>
    </cfRule>
  </conditionalFormatting>
  <conditionalFormatting sqref="C48:C52">
    <cfRule type="expression" dxfId="104" priority="178">
      <formula>AND($A48=TRUE,$E48&gt;0)</formula>
    </cfRule>
    <cfRule type="expression" dxfId="103" priority="179">
      <formula>AND($A48=FALSE,$E48=0)</formula>
    </cfRule>
    <cfRule type="expression" dxfId="102" priority="180">
      <formula>AND($A48=FALSE,$E48&gt;0)</formula>
    </cfRule>
  </conditionalFormatting>
  <conditionalFormatting sqref="C34:C39">
    <cfRule type="expression" dxfId="101" priority="173">
      <formula>AND($E34=0,$F34&gt;0)</formula>
    </cfRule>
    <cfRule type="expression" dxfId="100" priority="175">
      <formula>AND($E34&gt;0,$F34=0)</formula>
    </cfRule>
    <cfRule type="expression" dxfId="99" priority="177">
      <formula>AND($E34&gt;0,$F34&gt;0)</formula>
    </cfRule>
  </conditionalFormatting>
  <conditionalFormatting sqref="C6:C7 C142 C9 C14">
    <cfRule type="expression" dxfId="98" priority="172">
      <formula>$E6&gt;0</formula>
    </cfRule>
  </conditionalFormatting>
  <conditionalFormatting sqref="C69:C73">
    <cfRule type="expression" dxfId="97" priority="165">
      <formula>AND($A69=TRUE,$E69&gt;0)</formula>
    </cfRule>
    <cfRule type="expression" dxfId="96" priority="166">
      <formula>AND($A69=FALSE,$E69=0)</formula>
    </cfRule>
    <cfRule type="expression" dxfId="95" priority="167">
      <formula>AND($A69=FALSE,$E69&gt;0)</formula>
    </cfRule>
  </conditionalFormatting>
  <conditionalFormatting sqref="C103:C111">
    <cfRule type="expression" dxfId="94" priority="161">
      <formula>$E103&gt;0</formula>
    </cfRule>
  </conditionalFormatting>
  <conditionalFormatting sqref="C114:C116">
    <cfRule type="expression" dxfId="93" priority="160">
      <formula>$E114&gt;0</formula>
    </cfRule>
  </conditionalFormatting>
  <conditionalFormatting sqref="C119:C121">
    <cfRule type="expression" dxfId="92" priority="159">
      <formula>$E119&gt;0</formula>
    </cfRule>
  </conditionalFormatting>
  <conditionalFormatting sqref="C124:C126">
    <cfRule type="expression" dxfId="91" priority="158">
      <formula>$E124&gt;0</formula>
    </cfRule>
  </conditionalFormatting>
  <conditionalFormatting sqref="C130">
    <cfRule type="expression" dxfId="90" priority="157">
      <formula>$E130&gt;0</formula>
    </cfRule>
  </conditionalFormatting>
  <conditionalFormatting sqref="C135">
    <cfRule type="expression" dxfId="89" priority="146">
      <formula>$E135&gt;0</formula>
    </cfRule>
  </conditionalFormatting>
  <conditionalFormatting sqref="C23:C28">
    <cfRule type="expression" dxfId="88" priority="145">
      <formula>$C23=1</formula>
    </cfRule>
    <cfRule type="expression" dxfId="87" priority="171">
      <formula>$C23=2</formula>
    </cfRule>
  </conditionalFormatting>
  <conditionalFormatting sqref="C19">
    <cfRule type="expression" dxfId="86" priority="144">
      <formula>ISBLANK($E$19)=FALSE</formula>
    </cfRule>
  </conditionalFormatting>
  <conditionalFormatting sqref="C134 C238:C239 C245:C246 C284">
    <cfRule type="expression" dxfId="85" priority="143">
      <formula>ISBLANK($E134)=FALSE</formula>
    </cfRule>
  </conditionalFormatting>
  <conditionalFormatting sqref="C137">
    <cfRule type="expression" dxfId="84" priority="142">
      <formula>ISBLANK($E137)=FALSE</formula>
    </cfRule>
  </conditionalFormatting>
  <conditionalFormatting sqref="C140">
    <cfRule type="expression" dxfId="83" priority="141">
      <formula>ISBLANK($E140)=FALSE</formula>
    </cfRule>
  </conditionalFormatting>
  <conditionalFormatting sqref="C141">
    <cfRule type="expression" dxfId="82" priority="140">
      <formula>ISBLANK($E141)=FALSE</formula>
    </cfRule>
  </conditionalFormatting>
  <conditionalFormatting sqref="C148:C149">
    <cfRule type="expression" dxfId="81" priority="139">
      <formula>ISBLANK($E148)=FALSE</formula>
    </cfRule>
  </conditionalFormatting>
  <conditionalFormatting sqref="C150">
    <cfRule type="expression" dxfId="80" priority="138">
      <formula>$E150&gt;0</formula>
    </cfRule>
  </conditionalFormatting>
  <conditionalFormatting sqref="C155">
    <cfRule type="expression" dxfId="79" priority="137">
      <formula>ISBLANK($E155)=FALSE</formula>
    </cfRule>
  </conditionalFormatting>
  <conditionalFormatting sqref="C156">
    <cfRule type="expression" dxfId="78" priority="136">
      <formula>$E156&gt;0</formula>
    </cfRule>
  </conditionalFormatting>
  <conditionalFormatting sqref="C157">
    <cfRule type="expression" dxfId="77" priority="135">
      <formula>$E157&gt;0</formula>
    </cfRule>
  </conditionalFormatting>
  <conditionalFormatting sqref="C162">
    <cfRule type="expression" dxfId="76" priority="134">
      <formula>ISBLANK($E162)=FALSE</formula>
    </cfRule>
  </conditionalFormatting>
  <conditionalFormatting sqref="C173">
    <cfRule type="expression" dxfId="75" priority="133">
      <formula>ISBLANK($E173)=FALSE</formula>
    </cfRule>
  </conditionalFormatting>
  <conditionalFormatting sqref="C182">
    <cfRule type="expression" dxfId="74" priority="132">
      <formula>ISBLANK($E182)=FALSE</formula>
    </cfRule>
  </conditionalFormatting>
  <conditionalFormatting sqref="C183">
    <cfRule type="expression" dxfId="73" priority="131">
      <formula>$E183&gt;0</formula>
    </cfRule>
  </conditionalFormatting>
  <conditionalFormatting sqref="C184">
    <cfRule type="expression" dxfId="72" priority="130">
      <formula>$E184&gt;0</formula>
    </cfRule>
  </conditionalFormatting>
  <conditionalFormatting sqref="C185">
    <cfRule type="expression" dxfId="71" priority="129">
      <formula>$E185&gt;0</formula>
    </cfRule>
  </conditionalFormatting>
  <conditionalFormatting sqref="C187">
    <cfRule type="expression" dxfId="70" priority="128">
      <formula>ISBLANK($E187)=FALSE</formula>
    </cfRule>
  </conditionalFormatting>
  <conditionalFormatting sqref="C188">
    <cfRule type="expression" dxfId="69" priority="127">
      <formula>$E188&gt;0</formula>
    </cfRule>
  </conditionalFormatting>
  <conditionalFormatting sqref="C189">
    <cfRule type="expression" dxfId="68" priority="126">
      <formula>$E189&gt;0</formula>
    </cfRule>
  </conditionalFormatting>
  <conditionalFormatting sqref="C190">
    <cfRule type="expression" dxfId="67" priority="125">
      <formula>$E190&gt;0</formula>
    </cfRule>
  </conditionalFormatting>
  <conditionalFormatting sqref="C193">
    <cfRule type="expression" dxfId="66" priority="124">
      <formula>ISBLANK($E193)=FALSE</formula>
    </cfRule>
  </conditionalFormatting>
  <conditionalFormatting sqref="C194">
    <cfRule type="expression" dxfId="65" priority="123">
      <formula>$E194&gt;0</formula>
    </cfRule>
  </conditionalFormatting>
  <conditionalFormatting sqref="C195">
    <cfRule type="expression" dxfId="64" priority="122">
      <formula>$E195&gt;0</formula>
    </cfRule>
  </conditionalFormatting>
  <conditionalFormatting sqref="C196">
    <cfRule type="expression" dxfId="63" priority="121">
      <formula>$E196&gt;0</formula>
    </cfRule>
  </conditionalFormatting>
  <conditionalFormatting sqref="C198">
    <cfRule type="expression" dxfId="62" priority="119">
      <formula>ISBLANK($E198)=FALSE</formula>
    </cfRule>
  </conditionalFormatting>
  <conditionalFormatting sqref="C199">
    <cfRule type="expression" dxfId="61" priority="117">
      <formula>$E199&gt;0</formula>
    </cfRule>
  </conditionalFormatting>
  <conditionalFormatting sqref="C200">
    <cfRule type="expression" dxfId="60" priority="116">
      <formula>$E200&gt;0</formula>
    </cfRule>
  </conditionalFormatting>
  <conditionalFormatting sqref="H166:L166">
    <cfRule type="expression" dxfId="59" priority="66">
      <formula>$E$166&lt;=$E$163</formula>
    </cfRule>
    <cfRule type="expression" dxfId="58" priority="67">
      <formula>$E$166&gt;$E$163</formula>
    </cfRule>
  </conditionalFormatting>
  <conditionalFormatting sqref="C54:C63">
    <cfRule type="expression" dxfId="57" priority="63">
      <formula>AND($A54=TRUE,$E54&gt;0)</formula>
    </cfRule>
    <cfRule type="expression" dxfId="56" priority="64">
      <formula>AND($A54=FALSE,$E54=0)</formula>
    </cfRule>
    <cfRule type="expression" dxfId="55" priority="65">
      <formula>AND($A54=FALSE,$E54&gt;0)</formula>
    </cfRule>
  </conditionalFormatting>
  <conditionalFormatting sqref="C65:C67">
    <cfRule type="expression" dxfId="54" priority="60">
      <formula>AND($A65=TRUE,$E65&gt;0)</formula>
    </cfRule>
    <cfRule type="expression" dxfId="53" priority="61">
      <formula>AND($A65=FALSE,$E65=0)</formula>
    </cfRule>
    <cfRule type="expression" dxfId="52" priority="62">
      <formula>AND($A65=FALSE,$E65&gt;0)</formula>
    </cfRule>
  </conditionalFormatting>
  <conditionalFormatting sqref="C129">
    <cfRule type="expression" dxfId="51" priority="59">
      <formula>ISBLANK($E129)=FALSE</formula>
    </cfRule>
  </conditionalFormatting>
  <conditionalFormatting sqref="C123">
    <cfRule type="expression" dxfId="50" priority="58">
      <formula>ISBLANK($E123)=FALSE</formula>
    </cfRule>
  </conditionalFormatting>
  <conditionalFormatting sqref="C118">
    <cfRule type="expression" dxfId="49" priority="57">
      <formula>ISBLANK($E118)=FALSE</formula>
    </cfRule>
  </conditionalFormatting>
  <conditionalFormatting sqref="C113">
    <cfRule type="expression" dxfId="48" priority="56">
      <formula>ISBLANK($E113)=FALSE</formula>
    </cfRule>
  </conditionalFormatting>
  <conditionalFormatting sqref="C166">
    <cfRule type="expression" dxfId="47" priority="55">
      <formula>$E166&gt;0</formula>
    </cfRule>
  </conditionalFormatting>
  <conditionalFormatting sqref="C167">
    <cfRule type="expression" dxfId="46" priority="54">
      <formula>$E167&gt;0</formula>
    </cfRule>
  </conditionalFormatting>
  <conditionalFormatting sqref="I40:M40">
    <cfRule type="expression" dxfId="45" priority="208">
      <formula>F40&gt;E6</formula>
    </cfRule>
    <cfRule type="expression" dxfId="44" priority="209">
      <formula>F40&lt;E6</formula>
    </cfRule>
  </conditionalFormatting>
  <conditionalFormatting sqref="J13:K13 M13">
    <cfRule type="expression" dxfId="43" priority="210">
      <formula>OR(COUNTIF(C45:C80,1)&gt;0,COUNTIF(C45:C80,2)&gt;0)</formula>
    </cfRule>
  </conditionalFormatting>
  <conditionalFormatting sqref="C6">
    <cfRule type="cellIs" dxfId="42" priority="53" operator="greaterThan">
      <formula>0</formula>
    </cfRule>
  </conditionalFormatting>
  <conditionalFormatting sqref="E6:F6">
    <cfRule type="expression" dxfId="41" priority="52">
      <formula>"&lt;=0"</formula>
    </cfRule>
  </conditionalFormatting>
  <conditionalFormatting sqref="C30">
    <cfRule type="expression" dxfId="40" priority="49">
      <formula>$E$30&lt;100</formula>
    </cfRule>
    <cfRule type="expression" dxfId="39" priority="50">
      <formula>$E$30=100</formula>
    </cfRule>
  </conditionalFormatting>
  <conditionalFormatting sqref="I10:M10">
    <cfRule type="expression" dxfId="38" priority="14">
      <formula>$E$10&gt;$E$8</formula>
    </cfRule>
  </conditionalFormatting>
  <conditionalFormatting sqref="I6:M6">
    <cfRule type="expression" dxfId="37" priority="215">
      <formula>($E$10+$E$9+$E$7)&gt;$E$6</formula>
    </cfRule>
  </conditionalFormatting>
  <conditionalFormatting sqref="I11:M11 J12:K12 M12">
    <cfRule type="expression" dxfId="36" priority="218">
      <formula>OR(COUNTIF(B44:B79,1)&gt;0,COUNTIF(B44:B79,2)&gt;0)</formula>
    </cfRule>
  </conditionalFormatting>
  <conditionalFormatting sqref="C228">
    <cfRule type="expression" dxfId="35" priority="223">
      <formula>ISBLANK($E228)=FALSE</formula>
    </cfRule>
  </conditionalFormatting>
  <conditionalFormatting sqref="O209:P209">
    <cfRule type="colorScale" priority="9">
      <colorScale>
        <cfvo type="min"/>
        <cfvo type="percentile" val="50"/>
        <cfvo type="max"/>
        <color rgb="FFF8696B"/>
        <color rgb="FFFFEB84"/>
        <color rgb="FF63BE7B"/>
      </colorScale>
    </cfRule>
  </conditionalFormatting>
  <conditionalFormatting sqref="C255">
    <cfRule type="expression" dxfId="34" priority="230">
      <formula>AND(#REF!=TRUE,$E255&gt;0)</formula>
    </cfRule>
    <cfRule type="expression" dxfId="33" priority="231">
      <formula>AND(#REF!=FALSE,$E255=0)</formula>
    </cfRule>
    <cfRule type="expression" dxfId="32" priority="232">
      <formula>AND(#REF!=FALSE,$E255&gt;0)</formula>
    </cfRule>
  </conditionalFormatting>
  <conditionalFormatting sqref="C205">
    <cfRule type="expression" dxfId="31" priority="8">
      <formula>ISBLANK($E205)=FALSE</formula>
    </cfRule>
  </conditionalFormatting>
  <conditionalFormatting sqref="C206">
    <cfRule type="expression" dxfId="30" priority="7">
      <formula>ISBLANK($E206)=FALSE</formula>
    </cfRule>
  </conditionalFormatting>
  <conditionalFormatting sqref="C207">
    <cfRule type="expression" dxfId="29" priority="6">
      <formula>ISBLANK($E207)=FALSE</formula>
    </cfRule>
  </conditionalFormatting>
  <conditionalFormatting sqref="C279:C283">
    <cfRule type="expression" dxfId="28" priority="236">
      <formula>AND($A249=TRUE,$E279&gt;0)</formula>
    </cfRule>
    <cfRule type="expression" dxfId="27" priority="237">
      <formula>AND($A249=FALSE,$E279=0)</formula>
    </cfRule>
    <cfRule type="expression" dxfId="26" priority="238">
      <formula>AND($A249=FALSE,$E279&gt;0)</formula>
    </cfRule>
  </conditionalFormatting>
  <conditionalFormatting sqref="C290">
    <cfRule type="expression" dxfId="25" priority="5">
      <formula>ISBLANK($E290)=FALSE</formula>
    </cfRule>
  </conditionalFormatting>
  <conditionalFormatting sqref="C300">
    <cfRule type="expression" dxfId="24" priority="4">
      <formula>ISBLANK($E300)=FALSE</formula>
    </cfRule>
  </conditionalFormatting>
  <conditionalFormatting sqref="C306">
    <cfRule type="expression" dxfId="23" priority="3">
      <formula>ISBLANK($E306)=FALSE</formula>
    </cfRule>
  </conditionalFormatting>
  <conditionalFormatting sqref="H325">
    <cfRule type="expression" dxfId="22" priority="2">
      <formula>IF(F325=1,1,0)</formula>
    </cfRule>
  </conditionalFormatting>
  <conditionalFormatting sqref="C271:C277 C256:C265">
    <cfRule type="expression" dxfId="21" priority="248">
      <formula>AND($A224=TRUE,$E256&gt;0)</formula>
    </cfRule>
    <cfRule type="expression" dxfId="20" priority="249">
      <formula>AND($A224=FALSE,$E256=0)</formula>
    </cfRule>
    <cfRule type="expression" dxfId="19" priority="250">
      <formula>AND($A224=FALSE,$E256&gt;0)</formula>
    </cfRule>
  </conditionalFormatting>
  <dataValidations xWindow="605" yWindow="792" count="28">
    <dataValidation type="list" allowBlank="1" showInputMessage="1" showErrorMessage="1" sqref="E238 E148 E155 E173 E228 E162 E245 E137 E310:E314 E19:E20 E187 E113 E118 E123 E129 E182 E140:E141 E193 E198 E134 F23:G28 E205:E207 E290 E300 E306 E220 E284:E286" xr:uid="{19CD2F8D-433D-46EB-B8CF-FE1D3C07DA75}">
      <formula1>Code_ON</formula1>
    </dataValidation>
    <dataValidation type="list" errorStyle="information" allowBlank="1" showInputMessage="1" showErrorMessage="1" errorTitle="Attention" error="Cette culture ne fait pas partie de la liste :  veuillez modifier votre entrée." promptTitle="Veuillez ajouter vos surfaces" prompt="en les choisissant dans le menu déroulant." sqref="D44:D46" xr:uid="{873E351D-077E-4133-B7E0-00726E3542D6}">
      <formula1>OFFSET(Code_LegumFourrage,MATCH(D44&amp;"*",Code_LegumFourrage,0)-1,,COUNTIF(Code_LegumFourrage,D44&amp;"*"))</formula1>
    </dataValidation>
    <dataValidation type="list" errorStyle="information" allowBlank="1" showInputMessage="1" showErrorMessage="1" errorTitle="Attention" error="Cette culture ne fait pas partie de la liste :  veuillez modifier votre entrée." promptTitle="Veuillez ajouter vos surfaces" prompt="en les choisissant dans le menu déroulant." sqref="D48:D52" xr:uid="{5E4E9BB7-740C-42E6-8A62-452D244F4E05}">
      <formula1>OFFSET(Code_Protea,MATCH(D48&amp;"*",Code_Protea,0)-1,,COUNTIF(Code_Protea,D48&amp;"*"))</formula1>
    </dataValidation>
    <dataValidation type="list" errorStyle="information" allowBlank="1" showInputMessage="1" showErrorMessage="1" errorTitle="Attention" error="Cette culture ne fait pas partie de la liste :  veuillez modifier votre entrée." promptTitle="Veuillez ajouter vos surfaces" prompt="en les choisissant dans le menu déroulant." sqref="D65:D67" xr:uid="{0D976EFB-C9B0-4583-AB0B-6C6694BB92EC}">
      <formula1>OFFSET(Code_CMI,MATCH(D65&amp;"*",Code_CMI,0)-1,,COUNTIF(Code_CMI,D65&amp;"*"))</formula1>
    </dataValidation>
    <dataValidation type="list" errorStyle="information" allowBlank="1" showInputMessage="1" showErrorMessage="1" errorTitle="Attention" error="Cette culture ne fait pas partie de la liste :  veuillez modifier votre entrée." promptTitle="Veuillez ajouter vos surfaces" prompt="en les choisissant dans le menu déroulant." sqref="D69:D73" xr:uid="{782F3AAF-F8DA-47B5-BE51-7D391EFA9580}">
      <formula1>OFFSET(Code_autres,MATCH(D69&amp;"*",Code_autres,0)-1,,COUNTIF(Code_autres,D69&amp;"*"))</formula1>
    </dataValidation>
    <dataValidation type="list" errorStyle="information" allowBlank="1" showInputMessage="1" showErrorMessage="1" errorTitle="Attention" error="Cette culture ne fait pas partie de la liste :  veuillez modifier votre entrée." promptTitle="Veuillez ajouter vos surfaces" prompt="en les choisissant dans le menu déroulant." sqref="D75:D76" xr:uid="{DC6B4071-5670-4ED2-B06C-094FC7041928}">
      <formula1>OFFSET(Code_fruit,MATCH(D75&amp;"*",Code_fruit,0)-1,,COUNTIF(Code_fruit,D75&amp;"*"))</formula1>
    </dataValidation>
    <dataValidation allowBlank="1" showInputMessage="1" showErrorMessage="1" prompt="Les superficies transfrontalières ou flamandes ne sont pas comptabilisées pour la prime, mais elles sont comptabilisées pour déterminer la charge en bétail de votre exploitation." sqref="I14" xr:uid="{7BB19BCD-7ADB-4868-BFBF-3A8D9FDCA490}"/>
    <dataValidation type="list" allowBlank="1" showInputMessage="1" showErrorMessage="1" promptTitle="Veuillez ajouter vos surfaces" prompt="en les choisissant dans le menu déroulant." sqref="D54:D63" xr:uid="{B07DAA4B-15E7-465D-84DB-E60426587947}">
      <formula1>OFFSET(Code_Cereales,MATCH(D54&amp;"*",Code_Cereales,0)-1,,COUNTIF(Code_Cereales,D54&amp;"*"))</formula1>
    </dataValidation>
    <dataValidation allowBlank="1" showInputMessage="1" showErrorMessage="1" prompt="La déclaration de vos animaux est utile pour le calcul de votre charge en bétail herbivore, qui intervient dans le calcul de la MAEC &quot;Autonomie Fourragère&quot; et l'éco-régime &quot;Prairies Permanentes&quot;." sqref="H106:L106" xr:uid="{21C854AD-C6F5-4B14-AE03-F1A9B7A9DE0C}"/>
    <dataValidation allowBlank="1" showInputMessage="1" showErrorMessage="1" promptTitle="Cet ER a été mis en place afin" prompt="d'encourager le développement des superficies non productives et dédiées à la biodiversité. Il rétribue l'installation de dispositifs environnementaux (surfaces non-productives ou éléments du paysage) dans vos TA, vos PP et vos CP." sqref="H289" xr:uid="{5DE7FA79-E7D0-469E-9A1C-9D780C4F9760}"/>
    <dataValidation allowBlank="1" showInputMessage="1" showErrorMessage="1" promptTitle="Nombre éligible à l'aide : " prompt="minimum 10 et maximum 145 vaches viandeuses par agriculteur ou par personne physique (si éligible)._x000a_" sqref="H123:L123" xr:uid="{663B1132-1DF2-4650-BCFA-719EB0387C11}"/>
    <dataValidation allowBlank="1" showInputMessage="1" showErrorMessage="1" promptTitle="Nombre éligible à l'aide : " prompt="minimum 10 et maximum 50 vaches laitières par agriculteur ou par personne physique (si éligible)._x000a_" sqref="H113:L113" xr:uid="{80663529-8CA8-4C07-BE23-F8818B401C77}"/>
    <dataValidation allowBlank="1" showInputMessage="1" showErrorMessage="1" promptTitle="Nombre éligible à l'aide : " prompt="minimum 10 et maximum 100 vaches mixtes par agriculteur ou par personne physique (si éligible)._x000a_" sqref="H118:L118" xr:uid="{C2B9134B-F34E-41F2-B04E-F0E958320564}"/>
    <dataValidation allowBlank="1" showInputMessage="1" showErrorMessage="1" promptTitle="600, 670 et 600 :" prompt="PP hors rotation depuis 5 ans, avec un taux de couverture, respectivement, de 50% ou moins, entre 50 et 90% ou plus grand que 90%. " sqref="I276" xr:uid="{FBCA0454-42E6-48FB-B7C6-9CA4BC2BD46C}"/>
    <dataValidation allowBlank="1" showInputMessage="1" showErrorMessage="1" promptTitle="Veaux : " prompt="ils sont détenus au moins 3 mois consécutifs dans l'exploitation, entre le 01/07/2022 et le 30/06/2023" sqref="I110:L111" xr:uid="{4C18815D-AE62-4A56-9F8B-0A057347332B}"/>
    <dataValidation allowBlank="1" showInputMessage="1" showErrorMessage="1" promptTitle="Nombre de brebis éligibles :" prompt="Nombre de brebis éligibles : minimum 30  et maximum 400 brebis par agriculteur ou par personne physique (si éligible). " sqref="H129:L129" xr:uid="{7EBA6067-1C6D-4D21-B5BF-96F64100188B}"/>
    <dataValidation type="list" allowBlank="1" showInputMessage="1" showErrorMessage="1" sqref="E142" xr:uid="{21DE345C-E255-42C6-9DE6-0D51E4D6462F}">
      <formula1>Annees</formula1>
    </dataValidation>
    <dataValidation allowBlank="1" showInputMessage="1" showErrorMessage="1" promptTitle="Le jeune agriculteur à moins de " prompt="41 ans et est installé depuis moins de 5 ans le jour de sa première demande d'aide jeune agriculteur&quot;, a une formation à orientation agricole ou agronomique, et possède un contrôle effectif et durable sur l'exploitation agricole." sqref="I22:M22" xr:uid="{377E79D9-731A-4394-869B-69ABE0B7828C}"/>
    <dataValidation allowBlank="1" showInputMessage="1" showErrorMessage="1" promptTitle="L’aide complémentaire pour les " prompt="agriculteurs est également octroyée aux agriculteurs qui ont bénéficié de l’aide « jeune agriculteur » pendant la période 2015-2022 pour le restant de la période de 5 années consécutives, sans devoir répondre à la nouvelle définition du jeune agriculteur." sqref="I24:M24" xr:uid="{FABB74E2-636B-44C4-B6C0-886E3EB6D3BA}"/>
    <dataValidation allowBlank="1" showInputMessage="1" showErrorMessage="1" promptTitle="Ce simulateur ne prend en compte" prompt="que vos superficies en Région Wallonne, mais, à terme, les superficies flamandes pourront également l'être pour les aides complémentaires au revenu (redistributive et au &quot;jeune agriculteur&quot;)." sqref="I28:M28" xr:uid="{E75536C6-67AB-42E8-9C7D-C187E3CD9A8A}"/>
    <dataValidation allowBlank="1" showInputMessage="1" showErrorMessage="1" promptTitle="Le déplafonnement de l'aide" prompt="complémentaire au revenu pour les jeunes agriculteurs ne s’applique pas dans le cas d’une exploitation ayant déjà perçu cette aide au cours de la programmation 2015-2022." sqref="I26:M26" xr:uid="{F884AE34-50D7-4FF0-B9BA-1CBA5FD550EF}"/>
    <dataValidation type="list" allowBlank="1" showInputMessage="1" showErrorMessage="1" sqref="D271:D277" xr:uid="{4FFBAC47-FF8A-4AEA-BECC-88437C83F64E}">
      <formula1>Disp_PP</formula1>
    </dataValidation>
    <dataValidation type="list" allowBlank="1" showInputMessage="1" showErrorMessage="1" sqref="D255:D265" xr:uid="{2E767284-2ED0-446D-9AEE-D4A8C9BD8DF2}">
      <formula1>Code_SNP_TA</formula1>
    </dataValidation>
    <dataValidation allowBlank="1" showErrorMessage="1" sqref="I19:M19" xr:uid="{DF327119-0B8D-4DDF-9F48-C628FFFC42EB}"/>
    <dataValidation allowBlank="1" showInputMessage="1" showErrorMessage="1" promptTitle="618 :" prompt="PP (taux de couverture &gt; 90%), avec contrat d'aide complémentaire environnemental, hors rotation depuis 5 ans" sqref="I278" xr:uid="{A465E90D-B1EA-4D3D-B6D8-D91205F6F3BC}"/>
    <dataValidation type="list" errorStyle="information" allowBlank="1" showInputMessage="1" showErrorMessage="1" errorTitle="Attention" error="Cette culture ne fait pas partie de la liste :  veuillez modifier votre entrée." promptTitle="Veuillez ajouter vos surfaces " prompt="en les choisissant dans le menu déroulant." sqref="D81:D99" xr:uid="{5E0A8C2E-EAEC-4E16-92F0-F3614BE6C091}">
      <formula1>OFFSET(SNAdmissible,MATCH(D81&amp;"*",SNAdmissible,0)-1,,COUNTIF(SNAdmissible,D81&amp;"*"))</formula1>
    </dataValidation>
    <dataValidation allowBlank="1" showInputMessage="1" showErrorMessage="1" promptTitle="Les éléments en terres arables" prompt="comptent comme &quot;surfaces non productives&quot; dans le respect de la BCAE 8 ; ce n'est pas le cas des éléments en prairies et cultures permanentes._x000a_La prise en compte du dispositif en BCAE8 et/ou en ER ME est précisé dans la colonne &quot;Comptent pour :&quot;." sqref="H254" xr:uid="{262BD76B-5B31-46FE-9840-F392C32831D1}"/>
    <dataValidation type="list" allowBlank="1" showInputMessage="1" showErrorMessage="1" sqref="D279:D286" xr:uid="{1FCC9E98-802A-4899-A89C-9D4A865932F5}">
      <formula1>Disp_CP</formula1>
    </dataValidation>
  </dataValidations>
  <hyperlinks>
    <hyperlink ref="I35:J35" r:id="rId1" display="Voir fiche aide au revenu" xr:uid="{8301D754-C38C-441E-8458-C0809E63DACA}"/>
    <hyperlink ref="I21:J21" r:id="rId2" display="Voir fiche paiement redistributif" xr:uid="{8627DA2A-6FF4-4A31-8702-C89D492F2814}"/>
    <hyperlink ref="H139:I139" r:id="rId3" display="Voir fiche paiement redistributif" xr:uid="{E8B37534-E8DB-46C2-9148-F32B754CA8B9}"/>
    <hyperlink ref="H139:J139" r:id="rId4" display="Voir fiche aide complémentaire pour les jeunes agriculteurs" xr:uid="{8082CF42-7A41-423C-B0BD-B3F4CF5F438A}"/>
    <hyperlink ref="H128:I128" r:id="rId5" display="Voir fiche aide au revenu" xr:uid="{D326A7A4-9432-440F-9C9C-8CCA613D6386}"/>
    <hyperlink ref="H128:J128" r:id="rId6" display="Voir fiche &quot;soutien couplé à la brevis&quot;" xr:uid="{1D796FFD-ACF7-4CBD-81A3-9133E91C597A}"/>
    <hyperlink ref="H117:J117" r:id="rId7" display="Voir fiche &quot;soutien couplé aux vaches mixtes&quot;" xr:uid="{DEC4C994-245C-4FAC-8678-A18FE6E5869C}"/>
    <hyperlink ref="H122:J122" r:id="rId8" display="Voir fiche &quot;soutien couplé aux bovins femelles viandeux&quot;" xr:uid="{08C42C75-1CC8-4598-8E99-EFC7730B2217}"/>
    <hyperlink ref="H112:J112" r:id="rId9" display="Voir fiche &quot;soutien couplé aux vaches laitières&quot;" xr:uid="{5A093DBF-D3A8-4909-B68E-8DD67B9E2FE1}"/>
    <hyperlink ref="H136:I136" r:id="rId10" display="Voir fiche aide au revenu" xr:uid="{A0E08B33-6328-463F-9B34-C9BF43A36ACD}"/>
    <hyperlink ref="H136:J136" r:id="rId11" display="Voir fiche &quot;soutien couplé aux cultures de protéines végétales&quot;" xr:uid="{428D5E6F-911B-445A-8FC5-24287E4E83E3}"/>
    <hyperlink ref="I23:J23" r:id="rId12" display="Voir fiche &quot;jeune agriculteur&quot;" xr:uid="{E372B5DA-E0F3-4609-A404-20A08D4AA61B}"/>
    <hyperlink ref="H147:K147" r:id="rId13" display="Voir fiche &quot;" xr:uid="{4B5B6426-AB54-44EC-9B71-DD259249DCF1}"/>
    <hyperlink ref="H154:K154" r:id="rId14" display="Voir fiche &quot;MAEC Parcelles Aménagées&quot;" xr:uid="{A0991FDF-F2A1-460D-91F2-A31993D15A98}"/>
    <hyperlink ref="H172:K172" r:id="rId15" display="Voir fiche &quot;MAEC Autonomie Fourragère&quot;" xr:uid="{58338DB5-006B-4F97-9AD9-5C1D0F0AB20F}"/>
    <hyperlink ref="H181:K181" r:id="rId16" display="Voir fiche &quot;MAEC Prairies à Haute Valeur Biologique&quot;" xr:uid="{DFBEC9C3-368F-4C9B-92C8-5BD5FDE74CEE}"/>
    <hyperlink ref="H192:J192" r:id="rId17" display="Voir fiche &quot;Prairies Naturelles&quot;" xr:uid="{BA86C5CF-B913-4A4C-A954-C60DEF69F72F}"/>
    <hyperlink ref="H237:J237" r:id="rId18" display="Voir fiche &quot;ER Cultures Favorables à l'Environnement&quot;" xr:uid="{3ED1BA10-3B43-4275-A5BF-561F78B4303D}"/>
    <hyperlink ref="H133:J133" r:id="rId19" display="Voir fiche &quot;BCAE 8&quot;" xr:uid="{0A40A7E1-ED25-4724-BF74-CC74F786B4AA}"/>
    <hyperlink ref="H135" r:id="rId20" display="Voir le communiqué de presse sur les jachères dérogées." xr:uid="{5DE62BD1-5A29-41E0-BB7F-8FB2BE19E7B6}"/>
    <hyperlink ref="H203" r:id="rId21" xr:uid="{6AFCD9CE-EF2B-40BA-86BA-8D0B950D29B6}"/>
    <hyperlink ref="H213:L214" r:id="rId22" display="Pour connaitre comment remplir ces trois lignes (D211 - D212 - D213 --&gt;  Voir la note en bas de page dans la fiche &quot;Sols&quot;" xr:uid="{863804E8-AA1E-4408-A00F-6D9F6E385521}"/>
    <hyperlink ref="H305:J305" r:id="rId23" display="Cliquez ici pour voir la fiche MAEC Plan d'action agroenvironnemental" xr:uid="{C1D585BE-9C69-46D3-B754-94000B9C00F0}"/>
    <hyperlink ref="H308:J308" r:id="rId24" display="Cliquez ici pour voir la fiche sur les aides à l'agriculture biologique" xr:uid="{B924900F-B0DB-4965-AD9D-783D92109F3A}"/>
  </hyperlinks>
  <pageMargins left="0.7" right="0.7" top="0.75" bottom="0.75" header="0.3" footer="0.3"/>
  <pageSetup paperSize="9" orientation="portrait" r:id="rId25"/>
  <ignoredErrors>
    <ignoredError sqref="B310:B314" unlockedFormula="1"/>
  </ignoredErrors>
  <drawing r:id="rId26"/>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2A5338D-E588-441D-8431-54D44A4161F1}">
  <sheetPr codeName="Feuil17"/>
  <dimension ref="A1:C20"/>
  <sheetViews>
    <sheetView workbookViewId="0">
      <selection activeCell="E123" sqref="E123"/>
    </sheetView>
  </sheetViews>
  <sheetFormatPr baseColWidth="10" defaultColWidth="11.42578125" defaultRowHeight="15" x14ac:dyDescent="0.25"/>
  <cols>
    <col min="1" max="1" width="60.140625" bestFit="1" customWidth="1"/>
    <col min="3" max="3" width="20" customWidth="1"/>
  </cols>
  <sheetData>
    <row r="1" spans="1:3" ht="15.75" thickBot="1" x14ac:dyDescent="0.3"/>
    <row r="2" spans="1:3" ht="15.75" thickBot="1" x14ac:dyDescent="0.3">
      <c r="A2" s="152" t="s">
        <v>1227</v>
      </c>
    </row>
    <row r="3" spans="1:3" x14ac:dyDescent="0.25">
      <c r="C3" s="240" t="s">
        <v>1313</v>
      </c>
    </row>
    <row r="4" spans="1:3" x14ac:dyDescent="0.25">
      <c r="A4" s="207" t="s">
        <v>1314</v>
      </c>
      <c r="B4" s="209">
        <f>IF(C4="Oui",'2. VOS DONNEES'!E151,0)</f>
        <v>0</v>
      </c>
      <c r="C4" t="str">
        <f>'2. VOS DONNEES'!E148</f>
        <v>NON</v>
      </c>
    </row>
    <row r="5" spans="1:3" x14ac:dyDescent="0.25">
      <c r="A5" s="33" t="s">
        <v>1315</v>
      </c>
      <c r="B5" s="209">
        <f>IF(C5="Oui",'CALCUL - MAEC CereP'!B21,0)</f>
        <v>0</v>
      </c>
      <c r="C5" t="str">
        <f>'2. VOS DONNEES'!E162</f>
        <v>NON</v>
      </c>
    </row>
    <row r="6" spans="1:3" x14ac:dyDescent="0.25">
      <c r="A6" s="33" t="s">
        <v>1316</v>
      </c>
      <c r="B6" s="209">
        <f>IF(C6="Oui",'2. VOS DONNEES'!E158,0)</f>
        <v>0</v>
      </c>
      <c r="C6" t="str">
        <f>'2. VOS DONNEES'!E155</f>
        <v>NON</v>
      </c>
    </row>
    <row r="8" spans="1:3" x14ac:dyDescent="0.25">
      <c r="A8" t="s">
        <v>1317</v>
      </c>
      <c r="B8" s="84">
        <f>B4+B5+B6</f>
        <v>0</v>
      </c>
    </row>
    <row r="9" spans="1:3" x14ac:dyDescent="0.25">
      <c r="A9" s="33" t="s">
        <v>1318</v>
      </c>
      <c r="B9" s="209">
        <f>'2. VOS DONNEES'!E8</f>
        <v>0</v>
      </c>
    </row>
    <row r="11" spans="1:3" x14ac:dyDescent="0.25">
      <c r="A11" t="s">
        <v>1319</v>
      </c>
      <c r="B11" t="str">
        <f>IFERROR(IF(B8/B9&gt;0.25,"OUI, PLAFOND","NON, PAS DE PLAFOND"),"-")</f>
        <v>-</v>
      </c>
    </row>
    <row r="12" spans="1:3" x14ac:dyDescent="0.25">
      <c r="A12" t="s">
        <v>1320</v>
      </c>
      <c r="B12" s="209">
        <f>B8-B9*0.25</f>
        <v>0</v>
      </c>
    </row>
    <row r="13" spans="1:3" x14ac:dyDescent="0.25">
      <c r="A13" t="s">
        <v>1321</v>
      </c>
      <c r="B13" s="84" t="str">
        <f>IFERROR(B12/B8,"-")</f>
        <v>-</v>
      </c>
    </row>
    <row r="14" spans="1:3" ht="15.75" thickBot="1" x14ac:dyDescent="0.3"/>
    <row r="15" spans="1:3" ht="15.75" thickBot="1" x14ac:dyDescent="0.3">
      <c r="A15" s="158" t="s">
        <v>1260</v>
      </c>
    </row>
    <row r="16" spans="1:3" ht="15.75" thickBot="1" x14ac:dyDescent="0.3">
      <c r="A16" t="s">
        <v>484</v>
      </c>
      <c r="B16" s="59">
        <v>1600</v>
      </c>
    </row>
    <row r="17" spans="1:3" x14ac:dyDescent="0.25">
      <c r="A17" t="s">
        <v>1326</v>
      </c>
      <c r="B17" s="239">
        <f>B6*B16</f>
        <v>0</v>
      </c>
    </row>
    <row r="18" spans="1:3" ht="15.75" thickBot="1" x14ac:dyDescent="0.3">
      <c r="A18" t="s">
        <v>1322</v>
      </c>
      <c r="B18" s="209">
        <f>IFERROR(IF(B11="OUI, PLAFOND",(1-B13)*B6,B6),"-")</f>
        <v>0</v>
      </c>
      <c r="C18" s="239"/>
    </row>
    <row r="19" spans="1:3" ht="15.75" thickBot="1" x14ac:dyDescent="0.3">
      <c r="A19" s="240" t="s">
        <v>1323</v>
      </c>
      <c r="B19" s="241">
        <f>IFERROR(B18*B16,"-")</f>
        <v>0</v>
      </c>
      <c r="C19" s="239"/>
    </row>
    <row r="20" spans="1:3" x14ac:dyDescent="0.25">
      <c r="C20" s="239"/>
    </row>
  </sheetData>
  <sheetProtection sheet="1" objects="1" scenarios="1"/>
  <pageMargins left="0.7" right="0.7" top="0.75" bottom="0.75" header="0.3" footer="0.3"/>
  <pageSetup paperSize="9" orientation="portrait"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65AE00E-DF09-4DDF-8DB9-1B5F2F50D290}">
  <sheetPr codeName="Feuil18"/>
  <dimension ref="B1:L26"/>
  <sheetViews>
    <sheetView topLeftCell="C4" workbookViewId="0">
      <selection activeCell="E123" sqref="E123"/>
    </sheetView>
  </sheetViews>
  <sheetFormatPr baseColWidth="10" defaultColWidth="11.42578125" defaultRowHeight="15" x14ac:dyDescent="0.25"/>
  <cols>
    <col min="2" max="2" width="16.7109375" bestFit="1" customWidth="1"/>
    <col min="3" max="3" width="78.42578125" customWidth="1"/>
    <col min="4" max="4" width="15.140625" customWidth="1"/>
    <col min="5" max="5" width="5.5703125" customWidth="1"/>
    <col min="6" max="6" width="35.85546875" customWidth="1"/>
    <col min="7" max="7" width="58.7109375" customWidth="1"/>
    <col min="8" max="8" width="23.85546875" customWidth="1"/>
    <col min="11" max="11" width="3" customWidth="1"/>
    <col min="12" max="12" width="3.7109375" style="393" customWidth="1"/>
  </cols>
  <sheetData>
    <row r="1" spans="2:7" x14ac:dyDescent="0.25">
      <c r="B1" t="s">
        <v>1327</v>
      </c>
      <c r="G1" t="s">
        <v>1328</v>
      </c>
    </row>
    <row r="2" spans="2:7" x14ac:dyDescent="0.25">
      <c r="C2" s="33" t="s">
        <v>1329</v>
      </c>
      <c r="D2" s="400" t="str">
        <f>'2. VOS DONNEES'!E182</f>
        <v>NON</v>
      </c>
    </row>
    <row r="3" spans="2:7" x14ac:dyDescent="0.25">
      <c r="C3" s="33" t="s">
        <v>1330</v>
      </c>
      <c r="D3" s="400" t="str">
        <f>+'2. VOS DONNEES'!E187</f>
        <v>NON</v>
      </c>
    </row>
    <row r="4" spans="2:7" x14ac:dyDescent="0.25">
      <c r="D4" s="397"/>
    </row>
    <row r="5" spans="2:7" x14ac:dyDescent="0.25">
      <c r="C5" s="33" t="s">
        <v>1331</v>
      </c>
      <c r="D5" s="531">
        <f>IF(D2="oui",'2. VOS DONNEES'!E183,0)</f>
        <v>0</v>
      </c>
    </row>
    <row r="6" spans="2:7" x14ac:dyDescent="0.25">
      <c r="C6" s="33" t="s">
        <v>1332</v>
      </c>
      <c r="D6" s="531">
        <f>IF(D3="oui",'2. VOS DONNEES'!E188,0)</f>
        <v>0</v>
      </c>
    </row>
    <row r="7" spans="2:7" x14ac:dyDescent="0.25">
      <c r="C7" s="33" t="s">
        <v>1333</v>
      </c>
      <c r="D7" s="531">
        <f>'2. VOS DONNEES'!E184+'2. VOS DONNEES'!E189</f>
        <v>0</v>
      </c>
    </row>
    <row r="8" spans="2:7" x14ac:dyDescent="0.25">
      <c r="C8" s="33" t="s">
        <v>1334</v>
      </c>
      <c r="D8" s="531">
        <f>'2. VOS DONNEES'!E185+'2. VOS DONNEES'!E190</f>
        <v>0</v>
      </c>
    </row>
    <row r="9" spans="2:7" x14ac:dyDescent="0.25">
      <c r="D9" s="397"/>
    </row>
    <row r="10" spans="2:7" x14ac:dyDescent="0.25">
      <c r="C10" s="33" t="s">
        <v>1335</v>
      </c>
      <c r="D10" s="531">
        <f>SUM(D5+D6)</f>
        <v>0</v>
      </c>
    </row>
    <row r="12" spans="2:7" x14ac:dyDescent="0.25">
      <c r="C12" s="33" t="s">
        <v>1281</v>
      </c>
      <c r="D12" s="399">
        <v>470</v>
      </c>
      <c r="F12" s="239"/>
    </row>
    <row r="13" spans="2:7" x14ac:dyDescent="0.25">
      <c r="C13" s="33" t="s">
        <v>1336</v>
      </c>
      <c r="D13" s="401">
        <f>D12*D10</f>
        <v>0</v>
      </c>
    </row>
    <row r="14" spans="2:7" x14ac:dyDescent="0.25">
      <c r="C14" s="33"/>
      <c r="D14" s="401"/>
    </row>
    <row r="15" spans="2:7" x14ac:dyDescent="0.25">
      <c r="C15" s="33" t="s">
        <v>1337</v>
      </c>
      <c r="D15" s="531">
        <f>D7</f>
        <v>0</v>
      </c>
      <c r="E15" s="34"/>
      <c r="G15" t="s">
        <v>1338</v>
      </c>
    </row>
    <row r="16" spans="2:7" x14ac:dyDescent="0.25">
      <c r="C16" s="33" t="s">
        <v>1339</v>
      </c>
      <c r="D16" s="403">
        <f>-1*(470-250)</f>
        <v>-220</v>
      </c>
      <c r="E16" s="34" t="s">
        <v>1340</v>
      </c>
    </row>
    <row r="17" spans="3:7" x14ac:dyDescent="0.25">
      <c r="C17" s="33" t="s">
        <v>1341</v>
      </c>
      <c r="D17" s="402">
        <f>D15*D16</f>
        <v>0</v>
      </c>
    </row>
    <row r="18" spans="3:7" x14ac:dyDescent="0.25">
      <c r="C18" s="33" t="s">
        <v>1342</v>
      </c>
      <c r="D18" s="531">
        <f>D8</f>
        <v>0</v>
      </c>
      <c r="G18" t="s">
        <v>1343</v>
      </c>
    </row>
    <row r="19" spans="3:7" x14ac:dyDescent="0.25">
      <c r="C19" s="33" t="s">
        <v>1344</v>
      </c>
      <c r="D19" s="532">
        <f>D12</f>
        <v>470</v>
      </c>
    </row>
    <row r="20" spans="3:7" x14ac:dyDescent="0.25">
      <c r="C20" s="595" t="s">
        <v>1345</v>
      </c>
      <c r="D20" s="594">
        <f>-1*D19*D18</f>
        <v>0</v>
      </c>
    </row>
    <row r="21" spans="3:7" x14ac:dyDescent="0.25">
      <c r="C21" s="595"/>
      <c r="D21" s="594"/>
    </row>
    <row r="22" spans="3:7" x14ac:dyDescent="0.25">
      <c r="C22" s="596" t="s">
        <v>1346</v>
      </c>
      <c r="D22" s="596">
        <f>IF(SUM(D17+D13+D20)&lt;100,0,1)</f>
        <v>0</v>
      </c>
      <c r="E22" s="34"/>
      <c r="F22" s="34"/>
    </row>
    <row r="24" spans="3:7" x14ac:dyDescent="0.25">
      <c r="C24" s="33" t="s">
        <v>1347</v>
      </c>
      <c r="D24" s="505">
        <f>IF(D22=1,D17+(D13-(D18*D19)),0)</f>
        <v>0</v>
      </c>
      <c r="F24" s="239"/>
    </row>
    <row r="25" spans="3:7" x14ac:dyDescent="0.25">
      <c r="D25" s="239"/>
    </row>
    <row r="26" spans="3:7" x14ac:dyDescent="0.25">
      <c r="F26" s="239"/>
    </row>
  </sheetData>
  <sheetProtection sheet="1" objects="1" scenarios="1"/>
  <pageMargins left="0.7" right="0.7" top="0.75" bottom="0.75" header="0.3" footer="0.3"/>
  <pageSetup paperSize="9" orientation="portrait"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A289517-B954-4BDA-8650-553A2615251A}">
  <sheetPr codeName="Feuil19"/>
  <dimension ref="C1:F16"/>
  <sheetViews>
    <sheetView topLeftCell="B1" workbookViewId="0">
      <selection activeCell="D23" sqref="D23"/>
    </sheetView>
  </sheetViews>
  <sheetFormatPr baseColWidth="10" defaultColWidth="11.42578125" defaultRowHeight="15" x14ac:dyDescent="0.25"/>
  <cols>
    <col min="3" max="3" width="92.28515625" bestFit="1" customWidth="1"/>
    <col min="4" max="4" width="21" customWidth="1"/>
    <col min="11" max="11" width="14.85546875" customWidth="1"/>
  </cols>
  <sheetData>
    <row r="1" spans="3:6" x14ac:dyDescent="0.25">
      <c r="D1" t="s">
        <v>1348</v>
      </c>
      <c r="E1" t="s">
        <v>1349</v>
      </c>
      <c r="F1" t="s">
        <v>1350</v>
      </c>
    </row>
    <row r="2" spans="3:6" x14ac:dyDescent="0.25">
      <c r="C2" s="33" t="s">
        <v>1329</v>
      </c>
      <c r="D2" s="400" t="str">
        <f>'2. VOS DONNEES'!E193</f>
        <v>NON</v>
      </c>
      <c r="E2" s="523">
        <f>IF(D2="Oui",1,0)</f>
        <v>0</v>
      </c>
      <c r="F2" s="523"/>
    </row>
    <row r="3" spans="3:6" x14ac:dyDescent="0.25">
      <c r="C3" s="33" t="s">
        <v>1330</v>
      </c>
      <c r="D3" s="400" t="str">
        <f>'2. VOS DONNEES'!E198</f>
        <v>NON</v>
      </c>
      <c r="E3" s="523">
        <f>IF(D3="Oui",1,0)</f>
        <v>0</v>
      </c>
      <c r="F3" s="523">
        <f>E3+E2</f>
        <v>0</v>
      </c>
    </row>
    <row r="4" spans="3:6" x14ac:dyDescent="0.25">
      <c r="D4" s="397"/>
    </row>
    <row r="5" spans="3:6" x14ac:dyDescent="0.25">
      <c r="C5" s="33" t="s">
        <v>1331</v>
      </c>
      <c r="D5" s="398">
        <f>'2. VOS DONNEES'!E194</f>
        <v>0</v>
      </c>
    </row>
    <row r="6" spans="3:6" x14ac:dyDescent="0.25">
      <c r="C6" s="33" t="s">
        <v>1332</v>
      </c>
      <c r="D6" s="398">
        <f>'2. VOS DONNEES'!E199</f>
        <v>0</v>
      </c>
    </row>
    <row r="7" spans="3:6" x14ac:dyDescent="0.25">
      <c r="C7" s="33" t="s">
        <v>1333</v>
      </c>
      <c r="D7" s="398">
        <f>'2. VOS DONNEES'!E195+'2. VOS DONNEES'!E200</f>
        <v>0</v>
      </c>
      <c r="F7" s="34" t="s">
        <v>1437</v>
      </c>
    </row>
    <row r="8" spans="3:6" x14ac:dyDescent="0.25">
      <c r="C8" t="s">
        <v>1351</v>
      </c>
      <c r="D8" s="517">
        <f>'2. VOS DONNEES'!E196+'2. VOS DONNEES'!E201</f>
        <v>0</v>
      </c>
      <c r="F8" s="34" t="s">
        <v>1437</v>
      </c>
    </row>
    <row r="9" spans="3:6" x14ac:dyDescent="0.25">
      <c r="D9" s="397"/>
    </row>
    <row r="10" spans="3:6" x14ac:dyDescent="0.25">
      <c r="C10" s="34" t="s">
        <v>1352</v>
      </c>
      <c r="D10" s="517">
        <f>MAX(10,ROUND('2. VOS DONNEES'!E7/2,2))</f>
        <v>10</v>
      </c>
      <c r="F10" s="34" t="s">
        <v>1353</v>
      </c>
    </row>
    <row r="11" spans="3:6" x14ac:dyDescent="0.25">
      <c r="C11" s="34" t="s">
        <v>1354</v>
      </c>
      <c r="D11" s="518">
        <f>MIN(SUM(D5:D6),D10)</f>
        <v>0</v>
      </c>
      <c r="F11" s="34" t="s">
        <v>1355</v>
      </c>
    </row>
    <row r="12" spans="3:6" x14ac:dyDescent="0.25">
      <c r="C12" s="34" t="s">
        <v>484</v>
      </c>
      <c r="D12" s="520">
        <v>220</v>
      </c>
      <c r="F12" s="34" t="s">
        <v>1356</v>
      </c>
    </row>
    <row r="13" spans="3:6" x14ac:dyDescent="0.25">
      <c r="C13" s="34" t="s">
        <v>1357</v>
      </c>
      <c r="D13" s="518">
        <f>D11*D12</f>
        <v>0</v>
      </c>
      <c r="F13" s="34"/>
    </row>
    <row r="14" spans="3:6" x14ac:dyDescent="0.25">
      <c r="C14" s="34" t="s">
        <v>1358</v>
      </c>
      <c r="D14" s="518" t="str">
        <f>IF(D13&gt;100,"OK","KO")</f>
        <v>KO</v>
      </c>
      <c r="F14" s="522" t="s">
        <v>1359</v>
      </c>
    </row>
    <row r="15" spans="3:6" x14ac:dyDescent="0.25">
      <c r="C15" s="34" t="s">
        <v>1360</v>
      </c>
      <c r="D15" s="518">
        <f>-1*(D7+D8)*D12</f>
        <v>0</v>
      </c>
      <c r="F15" s="34" t="s">
        <v>1361</v>
      </c>
    </row>
    <row r="16" spans="3:6" x14ac:dyDescent="0.25">
      <c r="C16" s="519" t="s">
        <v>1362</v>
      </c>
      <c r="D16" s="521">
        <f>IF(F3=0,0,D13+D15)</f>
        <v>0</v>
      </c>
    </row>
  </sheetData>
  <sheetProtection sheet="1" objects="1" scenarios="1"/>
  <pageMargins left="0.7" right="0.7" top="0.75" bottom="0.75" header="0.3" footer="0.3"/>
  <pageSetup paperSize="9" orientation="portrait"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75E02EB-D2F2-4064-AF02-F8FB1D57B84A}">
  <sheetPr codeName="Feuil21"/>
  <dimension ref="A1:P56"/>
  <sheetViews>
    <sheetView workbookViewId="0">
      <selection activeCell="E123" sqref="E123"/>
    </sheetView>
  </sheetViews>
  <sheetFormatPr baseColWidth="10" defaultColWidth="11.5703125" defaultRowHeight="15" x14ac:dyDescent="0.25"/>
  <cols>
    <col min="1" max="1" width="16.7109375" style="619" bestFit="1" customWidth="1"/>
    <col min="2" max="2" width="82.7109375" style="619" customWidth="1"/>
    <col min="3" max="3" width="15.140625" style="619" customWidth="1"/>
    <col min="4" max="4" width="9" style="619" customWidth="1"/>
    <col min="5" max="5" width="8.7109375" style="619" customWidth="1"/>
    <col min="6" max="9" width="11.5703125" style="619"/>
    <col min="10" max="10" width="50" style="619" customWidth="1"/>
    <col min="11" max="12" width="11.5703125" style="619"/>
    <col min="13" max="13" width="30.42578125" style="619" bestFit="1" customWidth="1"/>
    <col min="14" max="14" width="9.42578125" style="619" customWidth="1"/>
    <col min="15" max="15" width="20.140625" style="619" customWidth="1"/>
    <col min="16" max="16384" width="11.5703125" style="619"/>
  </cols>
  <sheetData>
    <row r="1" spans="1:16" x14ac:dyDescent="0.25">
      <c r="A1" s="619" t="s">
        <v>1363</v>
      </c>
    </row>
    <row r="3" spans="1:16" x14ac:dyDescent="0.25">
      <c r="A3" s="981" t="s">
        <v>1364</v>
      </c>
      <c r="B3" s="982"/>
      <c r="C3" s="982"/>
      <c r="D3" s="983"/>
    </row>
    <row r="4" spans="1:16" x14ac:dyDescent="0.25">
      <c r="A4" s="984"/>
      <c r="B4" s="867" t="s">
        <v>26</v>
      </c>
      <c r="C4" s="942">
        <f>VLOOKUP(B4,'2. VOS DONNEES'!$D$6:$E$153,2,FALSE)</f>
        <v>0</v>
      </c>
      <c r="D4" s="941"/>
    </row>
    <row r="5" spans="1:16" x14ac:dyDescent="0.25">
      <c r="A5" s="984"/>
      <c r="B5" s="867" t="s">
        <v>27</v>
      </c>
      <c r="C5" s="942">
        <f>VLOOKUP(B5,'2. VOS DONNEES'!$D$6:$E$153,2,FALSE)</f>
        <v>0</v>
      </c>
      <c r="D5" s="943"/>
    </row>
    <row r="6" spans="1:16" x14ac:dyDescent="0.25">
      <c r="A6" s="984"/>
      <c r="B6" s="411" t="s">
        <v>29</v>
      </c>
      <c r="C6" s="942">
        <f>VLOOKUP(B6,'2. VOS DONNEES'!$D$6:$E$153,2,FALSE)</f>
        <v>0</v>
      </c>
      <c r="D6" s="941"/>
    </row>
    <row r="7" spans="1:16" x14ac:dyDescent="0.25">
      <c r="A7" s="984"/>
      <c r="B7" s="411" t="s">
        <v>30</v>
      </c>
      <c r="C7" s="942">
        <f>VLOOKUP(B7,'2. VOS DONNEES'!$D$6:$E$153,2,FALSE)</f>
        <v>0</v>
      </c>
      <c r="D7" s="943"/>
    </row>
    <row r="8" spans="1:16" ht="15.75" thickBot="1" x14ac:dyDescent="0.3">
      <c r="A8" s="984"/>
      <c r="B8" s="926" t="s">
        <v>34</v>
      </c>
      <c r="C8" s="942">
        <f>VLOOKUP(B8,'2. VOS DONNEES'!$D$6:$E$153,2,FALSE)</f>
        <v>0</v>
      </c>
      <c r="D8" s="943"/>
    </row>
    <row r="9" spans="1:16" ht="18" thickBot="1" x14ac:dyDescent="0.3">
      <c r="A9" s="985"/>
      <c r="B9" s="986" t="s">
        <v>1365</v>
      </c>
      <c r="C9" s="1021">
        <v>73</v>
      </c>
      <c r="D9" s="1022"/>
    </row>
    <row r="11" spans="1:16" ht="15.75" thickBot="1" x14ac:dyDescent="0.3"/>
    <row r="12" spans="1:16" ht="15.75" thickBot="1" x14ac:dyDescent="0.3">
      <c r="A12" s="987" t="s">
        <v>1366</v>
      </c>
      <c r="B12" s="988"/>
      <c r="C12" s="989"/>
    </row>
    <row r="13" spans="1:16" ht="30.6" customHeight="1" thickTop="1" x14ac:dyDescent="0.25">
      <c r="A13" s="990"/>
      <c r="B13" s="960" t="s">
        <v>265</v>
      </c>
      <c r="C13" s="961" t="e">
        <f>(C6/C4)</f>
        <v>#DIV/0!</v>
      </c>
      <c r="F13" s="1296" t="s">
        <v>266</v>
      </c>
      <c r="G13" s="1297"/>
      <c r="H13" s="1297"/>
      <c r="I13" s="1297"/>
      <c r="J13" s="1299"/>
      <c r="M13" s="1410" t="s">
        <v>267</v>
      </c>
      <c r="N13" s="1411"/>
      <c r="O13" s="1412"/>
    </row>
    <row r="14" spans="1:16" ht="15.75" thickBot="1" x14ac:dyDescent="0.3">
      <c r="A14" s="984"/>
      <c r="B14" s="960" t="s">
        <v>1367</v>
      </c>
      <c r="C14" s="962" t="str">
        <f>'2. VOS DONNEES'!E205</f>
        <v>NON</v>
      </c>
      <c r="M14" s="1413"/>
      <c r="N14" s="1414"/>
      <c r="O14" s="1415"/>
    </row>
    <row r="15" spans="1:16" ht="54" customHeight="1" thickTop="1" thickBot="1" x14ac:dyDescent="0.3">
      <c r="A15" s="991"/>
      <c r="B15" s="960" t="s">
        <v>1368</v>
      </c>
      <c r="C15" s="962" t="str">
        <f>'2. VOS DONNEES'!E206</f>
        <v>NON</v>
      </c>
      <c r="F15" s="1296" t="s">
        <v>270</v>
      </c>
      <c r="G15" s="1297"/>
      <c r="H15" s="1297"/>
      <c r="I15" s="1297"/>
      <c r="J15" s="1299"/>
      <c r="M15" s="975" t="s">
        <v>271</v>
      </c>
      <c r="N15" s="976">
        <v>15</v>
      </c>
      <c r="O15" s="977" t="str">
        <f>IF(N15&lt;12,"Légère",IF(AND(N15&gt;=12,N15&lt;=19),"Moyenne",IF(N15&gt;19,"Lourde")))</f>
        <v>Moyenne</v>
      </c>
      <c r="P15" s="928"/>
    </row>
    <row r="16" spans="1:16" ht="43.9" customHeight="1" x14ac:dyDescent="0.25">
      <c r="A16" s="991"/>
      <c r="B16" s="960" t="s">
        <v>272</v>
      </c>
      <c r="C16" s="962" t="str">
        <f>'2. VOS DONNEES'!E207</f>
        <v>NON</v>
      </c>
      <c r="F16" s="1296" t="s">
        <v>273</v>
      </c>
      <c r="G16" s="1297"/>
      <c r="H16" s="1297"/>
      <c r="I16" s="1297"/>
      <c r="J16" s="1299"/>
      <c r="M16" s="978" t="s">
        <v>274</v>
      </c>
      <c r="N16" s="1342">
        <v>4</v>
      </c>
      <c r="O16" s="1343"/>
      <c r="P16" s="928"/>
    </row>
    <row r="17" spans="1:16" ht="76.150000000000006" customHeight="1" thickBot="1" x14ac:dyDescent="0.3">
      <c r="A17" s="990"/>
      <c r="B17" s="960" t="s">
        <v>1369</v>
      </c>
      <c r="C17" s="962">
        <f>'2. VOS DONNEES'!E208</f>
        <v>0</v>
      </c>
      <c r="F17" s="1296" t="s">
        <v>276</v>
      </c>
      <c r="G17" s="1297"/>
      <c r="H17" s="1297"/>
      <c r="I17" s="1297"/>
      <c r="J17" s="1299"/>
      <c r="M17" s="978" t="s">
        <v>277</v>
      </c>
      <c r="N17" s="1344">
        <f>N16/N15*100</f>
        <v>26.666666666666668</v>
      </c>
      <c r="O17" s="1345"/>
      <c r="P17" s="928"/>
    </row>
    <row r="18" spans="1:16" ht="82.9" customHeight="1" thickBot="1" x14ac:dyDescent="0.3">
      <c r="A18" s="990"/>
      <c r="B18" s="960" t="s">
        <v>278</v>
      </c>
      <c r="C18" s="962">
        <f>'2. VOS DONNEES'!E209</f>
        <v>0</v>
      </c>
      <c r="F18" s="1296" t="s">
        <v>279</v>
      </c>
      <c r="G18" s="1297"/>
      <c r="H18" s="1297"/>
      <c r="I18" s="1297"/>
      <c r="J18" s="1299"/>
      <c r="M18" s="979" t="s">
        <v>280</v>
      </c>
      <c r="N18" s="1346" t="str">
        <f>IF(O15="Légère",IF(N17&lt;14,"Défavorable",IF(AND(N17&gt;=14,N17&lt;=17),"Transition",IF(N17&gt;17,"Favorable"))),IF(O15="Moyenne",IF(N17&lt;8,"Défavorable",IF(AND(N17&gt;=8,N17&lt;=10),"Transition",IF(N17&gt;10,"Favorable"))),IF(O15="Lourde",IF(N17&lt;6,"Défavorable",IF(AND(N17&gt;=6,N17&lt;=9),"Transition",IF(N17&gt;9,"Favorable"))))))</f>
        <v>Favorable</v>
      </c>
      <c r="O18" s="1347"/>
    </row>
    <row r="19" spans="1:16" ht="15.75" thickTop="1" x14ac:dyDescent="0.25">
      <c r="A19" s="990"/>
      <c r="B19" s="965" t="s">
        <v>281</v>
      </c>
      <c r="C19" s="962">
        <f>'2. VOS DONNEES'!E210</f>
        <v>0</v>
      </c>
    </row>
    <row r="20" spans="1:16" ht="27.6" customHeight="1" x14ac:dyDescent="0.25">
      <c r="A20" s="990"/>
      <c r="B20" s="967" t="s">
        <v>282</v>
      </c>
      <c r="C20" s="962">
        <f>'2. VOS DONNEES'!E211</f>
        <v>0</v>
      </c>
      <c r="F20" s="1296" t="s">
        <v>283</v>
      </c>
      <c r="G20" s="1297"/>
      <c r="H20" s="1297"/>
      <c r="I20" s="1297"/>
      <c r="J20" s="1299"/>
    </row>
    <row r="21" spans="1:16" ht="15.75" thickBot="1" x14ac:dyDescent="0.3">
      <c r="A21" s="990"/>
      <c r="B21" s="968" t="s">
        <v>284</v>
      </c>
      <c r="C21" s="962" t="str">
        <f>'2. VOS DONNEES'!E212</f>
        <v>-</v>
      </c>
      <c r="F21" s="944"/>
      <c r="G21" s="945"/>
      <c r="H21" s="945"/>
      <c r="I21" s="945"/>
      <c r="J21" s="946"/>
    </row>
    <row r="22" spans="1:16" ht="201" customHeight="1" x14ac:dyDescent="0.25">
      <c r="A22" s="992"/>
      <c r="B22" s="969" t="s">
        <v>1370</v>
      </c>
      <c r="C22" s="962">
        <f>'2. VOS DONNEES'!E213</f>
        <v>0</v>
      </c>
      <c r="F22" s="1548" t="s">
        <v>1371</v>
      </c>
      <c r="G22" s="1549"/>
      <c r="H22" s="1549"/>
      <c r="I22" s="1549"/>
      <c r="J22" s="1550"/>
    </row>
    <row r="23" spans="1:16" ht="201" customHeight="1" x14ac:dyDescent="0.25">
      <c r="A23" s="990"/>
      <c r="B23" s="971" t="s">
        <v>1372</v>
      </c>
      <c r="C23" s="962">
        <f>'2. VOS DONNEES'!E214</f>
        <v>0</v>
      </c>
      <c r="F23" s="1551"/>
      <c r="G23" s="1330"/>
      <c r="H23" s="1330"/>
      <c r="I23" s="1330"/>
      <c r="J23" s="1552"/>
    </row>
    <row r="24" spans="1:16" ht="201" customHeight="1" thickBot="1" x14ac:dyDescent="0.3">
      <c r="A24" s="993"/>
      <c r="B24" s="973" t="s">
        <v>1373</v>
      </c>
      <c r="C24" s="962">
        <f>'2. VOS DONNEES'!E215</f>
        <v>0</v>
      </c>
      <c r="F24" s="1553"/>
      <c r="G24" s="1554"/>
      <c r="H24" s="1554"/>
      <c r="I24" s="1554"/>
      <c r="J24" s="1555"/>
    </row>
    <row r="25" spans="1:16" ht="60.6" customHeight="1" x14ac:dyDescent="0.25">
      <c r="A25" s="994"/>
      <c r="B25" s="969" t="s">
        <v>524</v>
      </c>
      <c r="C25" s="962">
        <f>'2. VOS DONNEES'!E216</f>
        <v>0</v>
      </c>
      <c r="F25" s="1326" t="s">
        <v>290</v>
      </c>
      <c r="G25" s="1327"/>
      <c r="H25" s="1327"/>
      <c r="I25" s="1327"/>
      <c r="J25" s="1328"/>
    </row>
    <row r="26" spans="1:16" x14ac:dyDescent="0.25">
      <c r="A26" s="995"/>
      <c r="B26" s="971" t="s">
        <v>525</v>
      </c>
      <c r="C26" s="962">
        <f>'2. VOS DONNEES'!E217</f>
        <v>0</v>
      </c>
    </row>
    <row r="27" spans="1:16" ht="56.45" customHeight="1" thickBot="1" x14ac:dyDescent="0.3">
      <c r="A27" s="996"/>
      <c r="B27" s="973" t="s">
        <v>526</v>
      </c>
      <c r="C27" s="962">
        <f>'2. VOS DONNEES'!E218</f>
        <v>0</v>
      </c>
      <c r="F27" s="1296" t="s">
        <v>293</v>
      </c>
      <c r="G27" s="1297"/>
      <c r="H27" s="1297"/>
      <c r="I27" s="1297"/>
      <c r="J27" s="1299"/>
    </row>
    <row r="30" spans="1:16" ht="15.75" thickBot="1" x14ac:dyDescent="0.3"/>
    <row r="31" spans="1:16" s="997" customFormat="1" x14ac:dyDescent="0.25">
      <c r="A31" s="997" t="s">
        <v>1374</v>
      </c>
    </row>
    <row r="32" spans="1:16" ht="15.75" thickBot="1" x14ac:dyDescent="0.3"/>
    <row r="33" spans="2:10" ht="57" customHeight="1" thickTop="1" thickBot="1" x14ac:dyDescent="0.3">
      <c r="B33" s="998" t="s">
        <v>1375</v>
      </c>
      <c r="C33" s="999"/>
      <c r="F33" s="1296" t="s">
        <v>1376</v>
      </c>
      <c r="G33" s="1297"/>
      <c r="H33" s="1297"/>
      <c r="I33" s="1297"/>
      <c r="J33" s="1299"/>
    </row>
    <row r="34" spans="2:10" ht="30" customHeight="1" thickTop="1" x14ac:dyDescent="0.25">
      <c r="B34" s="1000" t="s">
        <v>1377</v>
      </c>
      <c r="C34" s="1001">
        <f>IF(C15="OUI",1,0)</f>
        <v>0</v>
      </c>
    </row>
    <row r="35" spans="2:10" x14ac:dyDescent="0.25">
      <c r="B35" s="1002" t="s">
        <v>1378</v>
      </c>
      <c r="C35" s="1003" t="e">
        <f>IF(C13&lt;=0.3,0,IF(C13&gt;=0.6,1,(C13-0.3)/0.3))</f>
        <v>#DIV/0!</v>
      </c>
    </row>
    <row r="36" spans="2:10" ht="35.450000000000003" customHeight="1" x14ac:dyDescent="0.25">
      <c r="B36" s="1002" t="s">
        <v>1379</v>
      </c>
      <c r="C36" s="1004">
        <f>IF(C21&gt;=0.9,1,0)</f>
        <v>1</v>
      </c>
    </row>
    <row r="37" spans="2:10" ht="15.75" thickBot="1" x14ac:dyDescent="0.3">
      <c r="B37" s="1005" t="s">
        <v>1380</v>
      </c>
      <c r="C37" s="1006">
        <v>100</v>
      </c>
    </row>
    <row r="38" spans="2:10" ht="15.75" thickBot="1" x14ac:dyDescent="0.3">
      <c r="B38" s="1007" t="s">
        <v>1381</v>
      </c>
      <c r="C38" s="1048" t="e">
        <f>C37+C34*C35*C36*(C22*150+C23*80)</f>
        <v>#DIV/0!</v>
      </c>
    </row>
    <row r="39" spans="2:10" ht="15.75" thickBot="1" x14ac:dyDescent="0.3"/>
    <row r="40" spans="2:10" ht="16.5" thickTop="1" thickBot="1" x14ac:dyDescent="0.3">
      <c r="B40" s="998" t="s">
        <v>1382</v>
      </c>
      <c r="C40" s="999"/>
    </row>
    <row r="41" spans="2:10" ht="14.45" customHeight="1" thickTop="1" x14ac:dyDescent="0.25">
      <c r="B41" s="1545" t="s">
        <v>1383</v>
      </c>
      <c r="C41" s="1009">
        <f>C25-C22</f>
        <v>0</v>
      </c>
    </row>
    <row r="42" spans="2:10" x14ac:dyDescent="0.25">
      <c r="B42" s="1546"/>
      <c r="C42" s="1010" t="e">
        <f>(C25-C22)/C22</f>
        <v>#DIV/0!</v>
      </c>
    </row>
    <row r="43" spans="2:10" ht="14.45" customHeight="1" x14ac:dyDescent="0.25">
      <c r="B43" s="1547" t="s">
        <v>1384</v>
      </c>
      <c r="C43" s="1011">
        <f>C26-C23</f>
        <v>0</v>
      </c>
    </row>
    <row r="44" spans="2:10" x14ac:dyDescent="0.25">
      <c r="B44" s="1546"/>
      <c r="C44" s="1010" t="e">
        <f>(C26-C23)/C23</f>
        <v>#DIV/0!</v>
      </c>
    </row>
    <row r="45" spans="2:10" ht="14.45" customHeight="1" x14ac:dyDescent="0.25">
      <c r="B45" s="1547" t="s">
        <v>1385</v>
      </c>
      <c r="C45" s="1011">
        <f>C27-C24</f>
        <v>0</v>
      </c>
    </row>
    <row r="46" spans="2:10" x14ac:dyDescent="0.25">
      <c r="B46" s="1546"/>
      <c r="C46" s="1010" t="e">
        <f>(C27-C24)/C24</f>
        <v>#DIV/0!</v>
      </c>
    </row>
    <row r="47" spans="2:10" x14ac:dyDescent="0.25">
      <c r="B47" s="1000" t="s">
        <v>1386</v>
      </c>
      <c r="C47" s="1000" t="e">
        <f>IF(C42&lt;-0.05,0,1)</f>
        <v>#DIV/0!</v>
      </c>
    </row>
    <row r="48" spans="2:10" x14ac:dyDescent="0.25">
      <c r="B48" s="1000" t="s">
        <v>1387</v>
      </c>
      <c r="C48" s="1000" t="e">
        <f>IF(C46&gt;0.05,0,1)</f>
        <v>#DIV/0!</v>
      </c>
    </row>
    <row r="49" spans="1:3" ht="30.75" thickBot="1" x14ac:dyDescent="0.3">
      <c r="B49" s="1012" t="s">
        <v>1388</v>
      </c>
      <c r="C49" s="1000">
        <f>IF(C16="OUI",1,0)</f>
        <v>0</v>
      </c>
    </row>
    <row r="50" spans="1:3" ht="15.75" thickBot="1" x14ac:dyDescent="0.3">
      <c r="B50" s="1007" t="s">
        <v>1389</v>
      </c>
      <c r="C50" s="1048" t="e">
        <f>C37+C35*C36*C47*C48*((C25*150)+(C26*80))</f>
        <v>#DIV/0!</v>
      </c>
    </row>
    <row r="51" spans="1:3" ht="15.75" thickBot="1" x14ac:dyDescent="0.3">
      <c r="B51" s="1013" t="s">
        <v>1390</v>
      </c>
      <c r="C51" s="1014">
        <f>IF(C41&gt;0,C41*280,0)</f>
        <v>0</v>
      </c>
    </row>
    <row r="52" spans="1:3" ht="15.75" thickBot="1" x14ac:dyDescent="0.3">
      <c r="B52" s="1013" t="s">
        <v>1391</v>
      </c>
      <c r="C52" s="1014">
        <f>IF(C43&gt;0,C43*200,0)</f>
        <v>0</v>
      </c>
    </row>
    <row r="53" spans="1:3" ht="14.45" customHeight="1" thickBot="1" x14ac:dyDescent="0.3">
      <c r="B53" s="1007" t="s">
        <v>1392</v>
      </c>
      <c r="C53" s="1008" t="e">
        <f>IF(C13&lt;=0.3,0,(C51+C52)*C49*C36*C47*C48)</f>
        <v>#DIV/0!</v>
      </c>
    </row>
    <row r="55" spans="1:3" ht="15.75" thickBot="1" x14ac:dyDescent="0.3"/>
    <row r="56" spans="1:3" s="997" customFormat="1" x14ac:dyDescent="0.25">
      <c r="A56" s="997" t="s">
        <v>1393</v>
      </c>
    </row>
  </sheetData>
  <sheetProtection sheet="1" objects="1" scenarios="1"/>
  <mergeCells count="17">
    <mergeCell ref="F17:J17"/>
    <mergeCell ref="N17:O17"/>
    <mergeCell ref="F13:J13"/>
    <mergeCell ref="M13:O14"/>
    <mergeCell ref="F15:J15"/>
    <mergeCell ref="F16:J16"/>
    <mergeCell ref="N16:O16"/>
    <mergeCell ref="N18:O18"/>
    <mergeCell ref="F20:J20"/>
    <mergeCell ref="F22:J24"/>
    <mergeCell ref="F25:J25"/>
    <mergeCell ref="F27:J27"/>
    <mergeCell ref="F33:J33"/>
    <mergeCell ref="B41:B42"/>
    <mergeCell ref="B43:B44"/>
    <mergeCell ref="B45:B46"/>
    <mergeCell ref="F18:J18"/>
  </mergeCells>
  <conditionalFormatting sqref="N18:O18">
    <cfRule type="colorScale" priority="1">
      <colorScale>
        <cfvo type="min"/>
        <cfvo type="percentile" val="50"/>
        <cfvo type="max"/>
        <color rgb="FFF8696B"/>
        <color rgb="FFFFEB84"/>
        <color rgb="FF63BE7B"/>
      </colorScale>
    </cfRule>
  </conditionalFormatting>
  <pageMargins left="0.7" right="0.7" top="0.75" bottom="0.75" header="0.3" footer="0.3"/>
  <pageSetup paperSize="9" orientation="portrait" r:id="rId1"/>
  <drawing r:id="rId2"/>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868943A-0490-4283-AB01-AA377741B35D}">
  <dimension ref="A3:J14"/>
  <sheetViews>
    <sheetView workbookViewId="0">
      <selection activeCell="E123" sqref="E123"/>
    </sheetView>
  </sheetViews>
  <sheetFormatPr baseColWidth="10" defaultColWidth="11.42578125" defaultRowHeight="15" x14ac:dyDescent="0.25"/>
  <cols>
    <col min="1" max="1" width="83.28515625" customWidth="1"/>
    <col min="10" max="10" width="84.85546875" customWidth="1"/>
  </cols>
  <sheetData>
    <row r="3" spans="1:10" ht="60" x14ac:dyDescent="0.25">
      <c r="A3" t="s">
        <v>1394</v>
      </c>
      <c r="J3" s="2" t="s">
        <v>1395</v>
      </c>
    </row>
    <row r="4" spans="1:10" x14ac:dyDescent="0.25">
      <c r="A4" s="33" t="s">
        <v>1396</v>
      </c>
      <c r="B4" s="33">
        <f>IF('2. VOS DONNEES'!E220="OUI",1,0)</f>
        <v>0</v>
      </c>
    </row>
    <row r="5" spans="1:10" x14ac:dyDescent="0.25">
      <c r="A5" s="33" t="s">
        <v>535</v>
      </c>
      <c r="B5" s="33">
        <f>'2. VOS DONNEES'!E221</f>
        <v>0</v>
      </c>
    </row>
    <row r="6" spans="1:10" x14ac:dyDescent="0.25">
      <c r="A6" s="33" t="s">
        <v>1397</v>
      </c>
      <c r="B6" s="33">
        <v>40</v>
      </c>
    </row>
    <row r="7" spans="1:10" x14ac:dyDescent="0.25">
      <c r="A7" s="33"/>
      <c r="B7" s="33">
        <f>IF(B4=1,B5*B6,0)</f>
        <v>0</v>
      </c>
    </row>
    <row r="8" spans="1:10" x14ac:dyDescent="0.25">
      <c r="A8" s="33" t="s">
        <v>1398</v>
      </c>
      <c r="B8" s="33">
        <f>IF(B4=1,'2. VOS DONNEES'!E222,0)</f>
        <v>0</v>
      </c>
    </row>
    <row r="9" spans="1:10" x14ac:dyDescent="0.25">
      <c r="A9" s="33" t="s">
        <v>1399</v>
      </c>
      <c r="B9" s="33">
        <f>IF(B4,'2. VOS DONNEES'!E223,0)</f>
        <v>0</v>
      </c>
    </row>
    <row r="10" spans="1:10" x14ac:dyDescent="0.25">
      <c r="A10" s="33" t="s">
        <v>1400</v>
      </c>
      <c r="B10" s="33">
        <f>B9+B8</f>
        <v>0</v>
      </c>
    </row>
    <row r="11" spans="1:10" x14ac:dyDescent="0.25">
      <c r="A11" s="33" t="s">
        <v>1401</v>
      </c>
      <c r="B11" s="33">
        <v>200</v>
      </c>
    </row>
    <row r="12" spans="1:10" x14ac:dyDescent="0.25">
      <c r="A12" s="33"/>
      <c r="B12" s="33" t="b">
        <f>IF(B4=1,(SUM(B8:B9)*B11))</f>
        <v>0</v>
      </c>
    </row>
    <row r="13" spans="1:10" x14ac:dyDescent="0.25">
      <c r="A13" s="33" t="s">
        <v>1402</v>
      </c>
      <c r="B13" s="33">
        <f>IF(B4=1,1,0)*((B5*B6)+(B10*B11))</f>
        <v>0</v>
      </c>
    </row>
    <row r="14" spans="1:10" x14ac:dyDescent="0.25">
      <c r="A14" s="33" t="s">
        <v>1194</v>
      </c>
      <c r="B14" s="33">
        <f>B12+B7</f>
        <v>0</v>
      </c>
    </row>
  </sheetData>
  <sheetProtection sheet="1" objects="1" scenarios="1"/>
  <pageMargins left="0.7" right="0.7" top="0.75" bottom="0.75" header="0.3" footer="0.3"/>
  <pageSetup paperSize="9" orientation="portrait" verticalDpi="0"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12046BE-2ACD-4FC7-B5F3-B2E4E4EC8A69}">
  <dimension ref="A1:J38"/>
  <sheetViews>
    <sheetView topLeftCell="A7" workbookViewId="0">
      <selection activeCell="D30" sqref="D30"/>
    </sheetView>
  </sheetViews>
  <sheetFormatPr baseColWidth="10" defaultColWidth="11.42578125" defaultRowHeight="15" x14ac:dyDescent="0.25"/>
  <cols>
    <col min="1" max="1" width="61.7109375" bestFit="1" customWidth="1"/>
    <col min="10" max="10" width="126" customWidth="1"/>
  </cols>
  <sheetData>
    <row r="1" spans="1:10" x14ac:dyDescent="0.25">
      <c r="A1" t="s">
        <v>1403</v>
      </c>
      <c r="B1" t="str">
        <f>'2. VOS DONNEES'!E306</f>
        <v>NON</v>
      </c>
    </row>
    <row r="2" spans="1:10" x14ac:dyDescent="0.25">
      <c r="A2" s="981" t="s">
        <v>1364</v>
      </c>
      <c r="B2" s="982"/>
      <c r="C2" s="982"/>
    </row>
    <row r="3" spans="1:10" x14ac:dyDescent="0.25">
      <c r="A3" s="867" t="s">
        <v>26</v>
      </c>
      <c r="B3" s="942">
        <f>IF(B1="oui",VLOOKUP(A3,'2. VOS DONNEES'!$D$6:$E$153,2,FALSE),0)</f>
        <v>0</v>
      </c>
      <c r="J3" s="30" t="s">
        <v>1404</v>
      </c>
    </row>
    <row r="5" spans="1:10" x14ac:dyDescent="0.25">
      <c r="J5" s="1098" t="s">
        <v>1405</v>
      </c>
    </row>
    <row r="6" spans="1:10" ht="45" x14ac:dyDescent="0.25">
      <c r="J6" s="1098" t="s">
        <v>1406</v>
      </c>
    </row>
    <row r="7" spans="1:10" ht="30" x14ac:dyDescent="0.25">
      <c r="A7" t="s">
        <v>1407</v>
      </c>
      <c r="J7" s="1098" t="s">
        <v>1408</v>
      </c>
    </row>
    <row r="8" spans="1:10" x14ac:dyDescent="0.25">
      <c r="A8" s="244" t="s">
        <v>1409</v>
      </c>
      <c r="B8" s="244">
        <f>IF(B3&gt;50,50,B3)*IF(B1="OUI",1,0)</f>
        <v>0</v>
      </c>
      <c r="J8" s="1098" t="s">
        <v>1410</v>
      </c>
    </row>
    <row r="9" spans="1:10" x14ac:dyDescent="0.25">
      <c r="A9" s="244" t="s">
        <v>1411</v>
      </c>
      <c r="B9" s="244">
        <v>20</v>
      </c>
      <c r="J9" s="1098" t="s">
        <v>1412</v>
      </c>
    </row>
    <row r="10" spans="1:10" x14ac:dyDescent="0.25">
      <c r="A10" s="244" t="s">
        <v>1413</v>
      </c>
      <c r="B10" s="244">
        <f>B9*B8</f>
        <v>0</v>
      </c>
      <c r="J10" s="1099" t="s">
        <v>1414</v>
      </c>
    </row>
    <row r="11" spans="1:10" x14ac:dyDescent="0.25">
      <c r="J11" s="1099" t="s">
        <v>1415</v>
      </c>
    </row>
    <row r="12" spans="1:10" x14ac:dyDescent="0.25">
      <c r="A12" s="244" t="s">
        <v>1416</v>
      </c>
      <c r="B12" t="s">
        <v>1417</v>
      </c>
    </row>
    <row r="13" spans="1:10" x14ac:dyDescent="0.25">
      <c r="A13" s="854" t="s">
        <v>436</v>
      </c>
      <c r="B13">
        <f>VLOOKUP(A13,'3. VOS RESULTATS'!$C$9:$D$29,2,FALSE)</f>
        <v>0</v>
      </c>
    </row>
    <row r="14" spans="1:10" x14ac:dyDescent="0.25">
      <c r="A14" s="854" t="s">
        <v>437</v>
      </c>
      <c r="B14">
        <f>VLOOKUP(A14,'3. VOS RESULTATS'!$C$9:$D$29,2,FALSE)</f>
        <v>0</v>
      </c>
    </row>
    <row r="15" spans="1:10" x14ac:dyDescent="0.25">
      <c r="A15" s="854" t="s">
        <v>438</v>
      </c>
      <c r="B15">
        <f>VLOOKUP(A15,'3. VOS RESULTATS'!$C$9:$D$29,2,FALSE)</f>
        <v>0</v>
      </c>
    </row>
    <row r="16" spans="1:10" x14ac:dyDescent="0.25">
      <c r="A16" s="854" t="s">
        <v>439</v>
      </c>
      <c r="B16">
        <f>VLOOKUP(A16,'3. VOS RESULTATS'!$C$9:$D$29,2,FALSE)</f>
        <v>0</v>
      </c>
      <c r="D16">
        <f>IF(B1="ok",1,0)</f>
        <v>0</v>
      </c>
    </row>
    <row r="17" spans="1:2" x14ac:dyDescent="0.25">
      <c r="A17" s="854" t="s">
        <v>440</v>
      </c>
      <c r="B17">
        <f>VLOOKUP(A17,'3. VOS RESULTATS'!$C$9:$D$29,2,FALSE)</f>
        <v>0</v>
      </c>
    </row>
    <row r="18" spans="1:2" x14ac:dyDescent="0.25">
      <c r="A18" s="854" t="s">
        <v>441</v>
      </c>
      <c r="B18">
        <f>VLOOKUP(A18,'3. VOS RESULTATS'!$C$9:$D$29,2,FALSE)</f>
        <v>0</v>
      </c>
    </row>
    <row r="19" spans="1:2" x14ac:dyDescent="0.25">
      <c r="A19" s="854" t="s">
        <v>442</v>
      </c>
      <c r="B19">
        <f>VLOOKUP(A19,'3. VOS RESULTATS'!$C$9:$D$29,2,FALSE)</f>
        <v>0</v>
      </c>
    </row>
    <row r="20" spans="1:2" x14ac:dyDescent="0.25">
      <c r="A20" s="854" t="s">
        <v>443</v>
      </c>
      <c r="B20">
        <f>VLOOKUP(A20,'3. VOS RESULTATS'!$C$9:$D$29,2,FALSE)</f>
        <v>0</v>
      </c>
    </row>
    <row r="21" spans="1:2" x14ac:dyDescent="0.25">
      <c r="A21" s="854" t="s">
        <v>445</v>
      </c>
      <c r="B21">
        <f>VLOOKUP(A21,'3. VOS RESULTATS'!$C$9:$D$29,2,FALSE)</f>
        <v>0</v>
      </c>
    </row>
    <row r="22" spans="1:2" x14ac:dyDescent="0.25">
      <c r="A22" s="854" t="s">
        <v>446</v>
      </c>
      <c r="B22">
        <f>VLOOKUP(A22,'3. VOS RESULTATS'!$C$9:$D$29,2,FALSE)</f>
        <v>0</v>
      </c>
    </row>
    <row r="23" spans="1:2" x14ac:dyDescent="0.25">
      <c r="A23" s="854" t="s">
        <v>447</v>
      </c>
      <c r="B23">
        <f>VLOOKUP(A23,'3. VOS RESULTATS'!$C$9:$D$29,2,FALSE)</f>
        <v>0</v>
      </c>
    </row>
    <row r="24" spans="1:2" x14ac:dyDescent="0.25">
      <c r="A24" s="854" t="s">
        <v>448</v>
      </c>
      <c r="B24">
        <f>VLOOKUP(A24,'3. VOS RESULTATS'!$C$9:$D$29,2,FALSE)</f>
        <v>0</v>
      </c>
    </row>
    <row r="25" spans="1:2" x14ac:dyDescent="0.25">
      <c r="A25" s="854" t="s">
        <v>451</v>
      </c>
      <c r="B25">
        <f ca="1">VLOOKUP(A25,'3. VOS RESULTATS'!$C$9:$D$29,2,FALSE)</f>
        <v>0</v>
      </c>
    </row>
    <row r="27" spans="1:2" x14ac:dyDescent="0.25">
      <c r="A27" s="370" t="s">
        <v>1418</v>
      </c>
      <c r="B27">
        <f ca="1">SUM(B13:B25)</f>
        <v>0</v>
      </c>
    </row>
    <row r="28" spans="1:2" x14ac:dyDescent="0.25">
      <c r="A28" s="370" t="s">
        <v>1419</v>
      </c>
      <c r="B28">
        <f ca="1">B27*0.05</f>
        <v>0</v>
      </c>
    </row>
    <row r="30" spans="1:2" ht="15.75" thickBot="1" x14ac:dyDescent="0.3"/>
    <row r="31" spans="1:2" x14ac:dyDescent="0.25">
      <c r="A31" s="470" t="s">
        <v>544</v>
      </c>
      <c r="B31" s="471">
        <f>B3</f>
        <v>0</v>
      </c>
    </row>
    <row r="32" spans="1:2" x14ac:dyDescent="0.25">
      <c r="A32" s="1100" t="s">
        <v>1420</v>
      </c>
      <c r="B32" s="1101" t="str">
        <f>IF(B31&gt;50,"OUI, plafond 50Ha","NON")</f>
        <v>NON</v>
      </c>
    </row>
    <row r="33" spans="1:2" x14ac:dyDescent="0.25">
      <c r="A33" s="803" t="s">
        <v>546</v>
      </c>
      <c r="B33" s="809">
        <v>20</v>
      </c>
    </row>
    <row r="34" spans="1:2" x14ac:dyDescent="0.25">
      <c r="A34" s="834" t="s">
        <v>547</v>
      </c>
      <c r="B34" s="835">
        <f>B33*IF(B31&gt;50,50,B31)</f>
        <v>0</v>
      </c>
    </row>
    <row r="35" spans="1:2" x14ac:dyDescent="0.25">
      <c r="A35" s="65" t="s">
        <v>1421</v>
      </c>
      <c r="B35" s="1102">
        <f>IF(B1="oui",SUM(B13:B25),0)</f>
        <v>0</v>
      </c>
    </row>
    <row r="36" spans="1:2" x14ac:dyDescent="0.25">
      <c r="A36" s="803" t="s">
        <v>1422</v>
      </c>
      <c r="B36" s="809" t="str">
        <f>IF(B35&gt;0,"Oui","Non")</f>
        <v>Non</v>
      </c>
    </row>
    <row r="37" spans="1:2" ht="15.75" thickBot="1" x14ac:dyDescent="0.3">
      <c r="A37" s="836" t="s">
        <v>1423</v>
      </c>
      <c r="B37" s="835">
        <f>IF(B36="Oui",B28,0)</f>
        <v>0</v>
      </c>
    </row>
    <row r="38" spans="1:2" ht="15.75" thickBot="1" x14ac:dyDescent="0.3">
      <c r="A38" s="817" t="s">
        <v>552</v>
      </c>
      <c r="B38" s="821">
        <f>SUM(B37+B34)</f>
        <v>0</v>
      </c>
    </row>
  </sheetData>
  <sheetProtection sheet="1" objects="1" scenarios="1"/>
  <pageMargins left="0.7" right="0.7" top="0.75" bottom="0.75" header="0.3" footer="0.3"/>
  <pageSetup paperSize="9" orientation="portrait" verticalDpi="0" r:id="rId1"/>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071365A-A925-4DDA-9178-D7DB78409864}">
  <sheetPr codeName="Feuil22"/>
  <dimension ref="B1:D20"/>
  <sheetViews>
    <sheetView workbookViewId="0">
      <selection activeCell="D21" sqref="D21"/>
    </sheetView>
  </sheetViews>
  <sheetFormatPr baseColWidth="10" defaultColWidth="11.42578125" defaultRowHeight="15" x14ac:dyDescent="0.25"/>
  <cols>
    <col min="3" max="3" width="82.7109375" bestFit="1" customWidth="1"/>
  </cols>
  <sheetData>
    <row r="1" spans="2:4" ht="15.75" thickBot="1" x14ac:dyDescent="0.3"/>
    <row r="2" spans="2:4" ht="31.5" x14ac:dyDescent="0.25">
      <c r="B2" s="1032"/>
      <c r="C2" s="1031" t="s">
        <v>369</v>
      </c>
      <c r="D2" s="1033"/>
    </row>
    <row r="3" spans="2:4" x14ac:dyDescent="0.25">
      <c r="B3" s="1556" t="s">
        <v>1424</v>
      </c>
      <c r="C3" s="207" t="s">
        <v>370</v>
      </c>
      <c r="D3" s="1036" t="str">
        <f>'2. VOS DONNEES'!E290</f>
        <v>NON</v>
      </c>
    </row>
    <row r="4" spans="2:4" x14ac:dyDescent="0.25">
      <c r="B4" s="1557"/>
      <c r="C4" s="214" t="s">
        <v>372</v>
      </c>
      <c r="D4" s="1037">
        <f>SUM(D5:D9)</f>
        <v>0</v>
      </c>
    </row>
    <row r="5" spans="2:4" x14ac:dyDescent="0.25">
      <c r="B5" s="1557"/>
      <c r="C5" s="1029" t="s">
        <v>374</v>
      </c>
      <c r="D5" s="1038">
        <f>'2. VOS DONNEES'!E292</f>
        <v>0</v>
      </c>
    </row>
    <row r="6" spans="2:4" x14ac:dyDescent="0.25">
      <c r="B6" s="1557"/>
      <c r="C6" s="1029" t="s">
        <v>375</v>
      </c>
      <c r="D6" s="1038">
        <f>'2. VOS DONNEES'!E293</f>
        <v>0</v>
      </c>
    </row>
    <row r="7" spans="2:4" x14ac:dyDescent="0.25">
      <c r="B7" s="1557"/>
      <c r="C7" s="1029" t="s">
        <v>376</v>
      </c>
      <c r="D7" s="1038">
        <f>'2. VOS DONNEES'!E294</f>
        <v>0</v>
      </c>
    </row>
    <row r="8" spans="2:4" x14ac:dyDescent="0.25">
      <c r="B8" s="1557"/>
      <c r="C8" s="1029" t="s">
        <v>378</v>
      </c>
      <c r="D8" s="1038">
        <f>'2. VOS DONNEES'!E295</f>
        <v>0</v>
      </c>
    </row>
    <row r="9" spans="2:4" ht="15.75" thickBot="1" x14ac:dyDescent="0.3">
      <c r="B9" s="1557"/>
      <c r="C9" s="1035" t="s">
        <v>380</v>
      </c>
      <c r="D9" s="1038">
        <f>'2. VOS DONNEES'!E296</f>
        <v>0</v>
      </c>
    </row>
    <row r="10" spans="2:4" x14ac:dyDescent="0.25">
      <c r="B10" s="1557"/>
    </row>
    <row r="11" spans="2:4" x14ac:dyDescent="0.25">
      <c r="B11" s="1557"/>
      <c r="C11" s="1029" t="s">
        <v>1425</v>
      </c>
      <c r="D11" s="33">
        <f>+D4</f>
        <v>0</v>
      </c>
    </row>
    <row r="12" spans="2:4" x14ac:dyDescent="0.25">
      <c r="B12" s="1557"/>
      <c r="C12" s="1029" t="s">
        <v>1426</v>
      </c>
      <c r="D12" s="33">
        <f>SUM(D5:D6,D8,D9)</f>
        <v>0</v>
      </c>
    </row>
    <row r="13" spans="2:4" x14ac:dyDescent="0.25">
      <c r="B13" s="1557"/>
      <c r="C13" s="1029" t="s">
        <v>1427</v>
      </c>
      <c r="D13" s="33">
        <v>460</v>
      </c>
    </row>
    <row r="14" spans="2:4" x14ac:dyDescent="0.25">
      <c r="B14" s="1557"/>
      <c r="C14" s="1029" t="s">
        <v>1428</v>
      </c>
      <c r="D14" s="33">
        <f>D12*D13</f>
        <v>0</v>
      </c>
    </row>
    <row r="15" spans="2:4" x14ac:dyDescent="0.25">
      <c r="B15" s="1557"/>
      <c r="C15" s="33"/>
      <c r="D15" s="33"/>
    </row>
    <row r="16" spans="2:4" x14ac:dyDescent="0.25">
      <c r="B16" s="1557"/>
      <c r="C16" s="1029" t="s">
        <v>1429</v>
      </c>
      <c r="D16" s="33">
        <f>D7</f>
        <v>0</v>
      </c>
    </row>
    <row r="17" spans="2:4" x14ac:dyDescent="0.25">
      <c r="B17" s="1557"/>
      <c r="C17" s="1029" t="s">
        <v>1430</v>
      </c>
      <c r="D17" s="33">
        <v>1100</v>
      </c>
    </row>
    <row r="18" spans="2:4" x14ac:dyDescent="0.25">
      <c r="B18" s="1557"/>
      <c r="C18" s="1029" t="s">
        <v>1431</v>
      </c>
      <c r="D18" s="33">
        <f>D17*D16</f>
        <v>0</v>
      </c>
    </row>
    <row r="19" spans="2:4" x14ac:dyDescent="0.25">
      <c r="B19" s="1557"/>
      <c r="C19" s="1042" t="s">
        <v>1432</v>
      </c>
      <c r="D19" s="33" t="str">
        <f>IF('3. VOS RESULTATS'!D254+'3. VOS RESULTATS'!D251&gt;100,"OUI","NON")</f>
        <v>NON</v>
      </c>
    </row>
    <row r="20" spans="2:4" x14ac:dyDescent="0.25">
      <c r="B20" s="1557"/>
      <c r="C20" s="1029" t="s">
        <v>1433</v>
      </c>
      <c r="D20" s="33">
        <f>IF(AND(D3="oui",D19="oui"),D18+D14,0)</f>
        <v>0</v>
      </c>
    </row>
  </sheetData>
  <sheetProtection sheet="1" objects="1" scenarios="1"/>
  <mergeCells count="1">
    <mergeCell ref="B3:B20"/>
  </mergeCells>
  <conditionalFormatting sqref="B3">
    <cfRule type="expression" dxfId="0" priority="1">
      <formula>ISBLANK($E3)=FALSE</formula>
    </cfRule>
  </conditionalFormatting>
  <dataValidations count="1">
    <dataValidation type="list" allowBlank="1" showInputMessage="1" showErrorMessage="1" sqref="D3" xr:uid="{0FB6F566-42F8-4725-AECA-7873EF70712E}">
      <formula1>Code_ON</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B5D37A7-C77B-412B-B4B5-ACD1277F9028}">
  <sheetPr codeName="Feuil3">
    <tabColor rgb="FF00B050"/>
  </sheetPr>
  <dimension ref="B1:BX292"/>
  <sheetViews>
    <sheetView showGridLines="0" zoomScale="90" zoomScaleNormal="90" workbookViewId="0">
      <selection activeCell="C15" sqref="C15"/>
    </sheetView>
  </sheetViews>
  <sheetFormatPr baseColWidth="10" defaultColWidth="11.42578125" defaultRowHeight="15" x14ac:dyDescent="0.25"/>
  <cols>
    <col min="1" max="1" width="3.85546875" customWidth="1"/>
    <col min="2" max="2" width="5.5703125" customWidth="1"/>
    <col min="3" max="3" width="68.7109375" customWidth="1"/>
    <col min="4" max="4" width="64.140625" bestFit="1" customWidth="1"/>
    <col min="5" max="5" width="20.85546875" customWidth="1"/>
    <col min="6" max="6" width="15.85546875" customWidth="1"/>
    <col min="7" max="8" width="14.28515625" customWidth="1"/>
  </cols>
  <sheetData>
    <row r="1" spans="2:76" ht="48" customHeight="1" x14ac:dyDescent="0.25">
      <c r="C1" s="1485" t="s">
        <v>0</v>
      </c>
      <c r="D1" s="1485"/>
      <c r="E1" s="1485"/>
      <c r="F1" s="1262" t="s">
        <v>1450</v>
      </c>
      <c r="G1" s="1263">
        <v>45041</v>
      </c>
    </row>
    <row r="2" spans="2:76" ht="48" customHeight="1" x14ac:dyDescent="0.25">
      <c r="C2" s="112"/>
      <c r="D2" s="112"/>
    </row>
    <row r="3" spans="2:76" ht="48" customHeight="1" x14ac:dyDescent="0.25">
      <c r="C3" s="112"/>
      <c r="D3" s="112"/>
      <c r="E3" s="112"/>
      <c r="BS3" s="315"/>
      <c r="BT3" s="315"/>
      <c r="BU3" s="315"/>
      <c r="BV3" s="315"/>
      <c r="BW3" s="315"/>
      <c r="BX3" s="315"/>
    </row>
    <row r="4" spans="2:76" ht="18" customHeight="1" thickBot="1" x14ac:dyDescent="0.35">
      <c r="B4" s="852"/>
      <c r="C4" s="853" t="s">
        <v>425</v>
      </c>
      <c r="D4" s="852"/>
      <c r="E4" s="852"/>
      <c r="F4" s="852"/>
      <c r="G4" s="852"/>
      <c r="BS4" s="315"/>
      <c r="BT4" s="315"/>
      <c r="BU4" s="315"/>
      <c r="BV4" s="315"/>
      <c r="BW4" s="315"/>
      <c r="BX4" s="315"/>
    </row>
    <row r="5" spans="2:76" ht="33.75" customHeight="1" thickBot="1" x14ac:dyDescent="0.3">
      <c r="C5" s="932" t="s">
        <v>426</v>
      </c>
      <c r="D5" s="934" t="str">
        <f>IFERROR('CALCUL - BCAE8'!C100,"-")</f>
        <v>-</v>
      </c>
      <c r="E5" s="933" t="str">
        <f>IF(D5="VOUS N'ETES PAS EN ORDRE PAR RAPPORT A LA BCAE8","ATTENTION PENALITE CONDITIONNALITE","")</f>
        <v/>
      </c>
      <c r="BS5" s="315"/>
      <c r="BT5" s="315"/>
      <c r="BU5" s="315"/>
      <c r="BV5" s="315"/>
      <c r="BW5" s="315"/>
      <c r="BX5" s="315"/>
    </row>
    <row r="6" spans="2:76" ht="10.9" customHeight="1" x14ac:dyDescent="0.25">
      <c r="C6" s="129"/>
    </row>
    <row r="7" spans="2:76" ht="24" customHeight="1" x14ac:dyDescent="0.3">
      <c r="B7" s="852"/>
      <c r="C7" s="853" t="s">
        <v>427</v>
      </c>
      <c r="D7" s="852"/>
      <c r="E7" s="852"/>
      <c r="F7" s="852"/>
      <c r="G7" s="852"/>
    </row>
    <row r="8" spans="2:76" ht="18.75" x14ac:dyDescent="0.3">
      <c r="C8" s="1514" t="s">
        <v>428</v>
      </c>
      <c r="D8" s="1515"/>
      <c r="E8" s="136" t="s">
        <v>429</v>
      </c>
    </row>
    <row r="9" spans="2:76" x14ac:dyDescent="0.25">
      <c r="C9" s="854" t="s">
        <v>430</v>
      </c>
      <c r="D9" s="362">
        <f>F42*'CALCUL - ABR-AR-AJA'!$C$2</f>
        <v>0</v>
      </c>
      <c r="E9" s="136" t="s">
        <v>431</v>
      </c>
    </row>
    <row r="10" spans="2:76" x14ac:dyDescent="0.25">
      <c r="C10" s="854" t="s">
        <v>432</v>
      </c>
      <c r="D10" s="362">
        <f>D55*'CALCUL - ABR-AR-AJA'!$C$2</f>
        <v>0</v>
      </c>
      <c r="E10" s="136" t="s">
        <v>431</v>
      </c>
    </row>
    <row r="11" spans="2:76" x14ac:dyDescent="0.25">
      <c r="C11" s="854" t="s">
        <v>433</v>
      </c>
      <c r="D11" s="362">
        <f>D71*'CALCUL - ABR-AR-AJA'!$C$2</f>
        <v>0</v>
      </c>
      <c r="E11" s="136" t="str">
        <f>IF(D11&gt;0,"OUI","-")</f>
        <v>-</v>
      </c>
    </row>
    <row r="12" spans="2:76" x14ac:dyDescent="0.25">
      <c r="C12" s="854" t="s">
        <v>434</v>
      </c>
      <c r="D12" s="362">
        <f>D94*'CALCUL - ABR-AR-AJA'!$C$2</f>
        <v>0</v>
      </c>
      <c r="E12" s="136" t="str">
        <f>IF(D12&gt;0,"OUI","-")</f>
        <v>-</v>
      </c>
    </row>
    <row r="13" spans="2:76" ht="16.149999999999999" customHeight="1" x14ac:dyDescent="0.25">
      <c r="C13" s="854" t="s">
        <v>435</v>
      </c>
      <c r="D13" s="81">
        <f>D99*'CALCUL - ABR-AR-AJA'!$C$2</f>
        <v>0</v>
      </c>
      <c r="E13" s="136" t="str">
        <f t="shared" ref="E13:E28" si="0">IF(D13&gt;0,"OUI","-")</f>
        <v>-</v>
      </c>
    </row>
    <row r="14" spans="2:76" ht="16.149999999999999" customHeight="1" x14ac:dyDescent="0.25">
      <c r="C14" s="854" t="s">
        <v>436</v>
      </c>
      <c r="D14" s="132">
        <f>D108*'CALCUL - ABR-AR-AJA'!$C$2</f>
        <v>0</v>
      </c>
      <c r="E14" s="136" t="str">
        <f t="shared" si="0"/>
        <v>-</v>
      </c>
    </row>
    <row r="15" spans="2:76" ht="16.149999999999999" customHeight="1" x14ac:dyDescent="0.25">
      <c r="C15" s="854" t="s">
        <v>437</v>
      </c>
      <c r="D15" s="81">
        <f>D115*'CALCUL - ABR-AR-AJA'!$C$2</f>
        <v>0</v>
      </c>
      <c r="E15" s="136" t="str">
        <f t="shared" si="0"/>
        <v>-</v>
      </c>
    </row>
    <row r="16" spans="2:76" ht="16.149999999999999" customHeight="1" x14ac:dyDescent="0.25">
      <c r="C16" s="854" t="s">
        <v>438</v>
      </c>
      <c r="D16" s="81">
        <f>D122*'CALCUL - ABR-AR-AJA'!$C$2</f>
        <v>0</v>
      </c>
      <c r="E16" s="136" t="str">
        <f t="shared" si="0"/>
        <v>-</v>
      </c>
    </row>
    <row r="17" spans="2:7" ht="16.149999999999999" customHeight="1" x14ac:dyDescent="0.25">
      <c r="C17" s="854" t="s">
        <v>439</v>
      </c>
      <c r="D17" s="132">
        <f>D131*'CALCUL - ABR-AR-AJA'!$C$2</f>
        <v>0</v>
      </c>
      <c r="E17" s="136" t="str">
        <f t="shared" si="0"/>
        <v>-</v>
      </c>
    </row>
    <row r="18" spans="2:7" ht="16.149999999999999" customHeight="1" x14ac:dyDescent="0.25">
      <c r="C18" s="854" t="s">
        <v>440</v>
      </c>
      <c r="D18" s="132">
        <f>D142*'CALCUL - ABR-AR-AJA'!$C$2</f>
        <v>0</v>
      </c>
      <c r="E18" s="136" t="str">
        <f t="shared" si="0"/>
        <v>-</v>
      </c>
    </row>
    <row r="19" spans="2:7" ht="16.149999999999999" customHeight="1" x14ac:dyDescent="0.25">
      <c r="C19" s="854" t="s">
        <v>441</v>
      </c>
      <c r="D19" s="132">
        <f>D150*'CALCUL - ABR-AR-AJA'!$C$2</f>
        <v>0</v>
      </c>
      <c r="E19" s="136" t="str">
        <f t="shared" si="0"/>
        <v>-</v>
      </c>
    </row>
    <row r="20" spans="2:7" ht="16.149999999999999" customHeight="1" x14ac:dyDescent="0.25">
      <c r="C20" s="854" t="s">
        <v>442</v>
      </c>
      <c r="D20" s="1059">
        <f>IFERROR(D164*'CALCUL - ABR-AR-AJA'!$C$2,"-       € ")</f>
        <v>0</v>
      </c>
      <c r="E20" s="136" t="str">
        <f t="shared" si="0"/>
        <v>-</v>
      </c>
    </row>
    <row r="21" spans="2:7" ht="16.149999999999999" customHeight="1" x14ac:dyDescent="0.25">
      <c r="C21" s="854" t="s">
        <v>443</v>
      </c>
      <c r="D21" s="1059">
        <f>D180*'CALCUL - ABR-AR-AJA'!$C$2</f>
        <v>0</v>
      </c>
      <c r="E21" s="136" t="str">
        <f t="shared" si="0"/>
        <v>-</v>
      </c>
    </row>
    <row r="22" spans="2:7" ht="16.149999999999999" customHeight="1" x14ac:dyDescent="0.25">
      <c r="C22" s="854" t="s">
        <v>444</v>
      </c>
      <c r="D22" s="1059">
        <f>D192*'CALCUL - ABR-AR-AJA'!$C$2</f>
        <v>0</v>
      </c>
      <c r="E22" s="136" t="str">
        <f t="shared" si="0"/>
        <v>-</v>
      </c>
    </row>
    <row r="23" spans="2:7" ht="16.149999999999999" customHeight="1" x14ac:dyDescent="0.25">
      <c r="C23" s="854" t="s">
        <v>445</v>
      </c>
      <c r="D23" s="82">
        <f>D205*'CALCUL - ABR-AR-AJA'!$C$2</f>
        <v>0</v>
      </c>
      <c r="E23" s="136" t="str">
        <f t="shared" si="0"/>
        <v>-</v>
      </c>
    </row>
    <row r="24" spans="2:7" ht="16.149999999999999" customHeight="1" x14ac:dyDescent="0.25">
      <c r="C24" s="854" t="s">
        <v>446</v>
      </c>
      <c r="D24" s="83">
        <f>D216*'CALCUL - ABR-AR-AJA'!$C$2</f>
        <v>0</v>
      </c>
      <c r="E24" s="136" t="str">
        <f t="shared" si="0"/>
        <v>-</v>
      </c>
    </row>
    <row r="25" spans="2:7" ht="16.149999999999999" customHeight="1" x14ac:dyDescent="0.25">
      <c r="C25" s="854" t="s">
        <v>447</v>
      </c>
      <c r="D25" s="82">
        <f>D232*'CALCUL - ABR-AR-AJA'!$C$2</f>
        <v>0</v>
      </c>
      <c r="E25" s="136" t="str">
        <f t="shared" si="0"/>
        <v>-</v>
      </c>
    </row>
    <row r="26" spans="2:7" ht="16.149999999999999" customHeight="1" x14ac:dyDescent="0.25">
      <c r="C26" s="854" t="s">
        <v>448</v>
      </c>
      <c r="D26" s="81">
        <f>D244*'CALCUL - ABR-AR-AJA'!$C$2</f>
        <v>0</v>
      </c>
      <c r="E26" s="136" t="str">
        <f t="shared" si="0"/>
        <v>-</v>
      </c>
    </row>
    <row r="27" spans="2:7" ht="16.149999999999999" customHeight="1" x14ac:dyDescent="0.25">
      <c r="C27" s="854" t="s">
        <v>449</v>
      </c>
      <c r="D27" s="81">
        <f>D256*'CALCUL - ABR-AR-AJA'!$C$2</f>
        <v>0</v>
      </c>
      <c r="E27" s="136" t="str">
        <f t="shared" si="0"/>
        <v>-</v>
      </c>
    </row>
    <row r="28" spans="2:7" ht="16.149999999999999" customHeight="1" x14ac:dyDescent="0.25">
      <c r="C28" s="854" t="s">
        <v>450</v>
      </c>
      <c r="D28" s="1088">
        <f>D269*'CALCUL - ABR-AR-AJA'!$C$2</f>
        <v>0</v>
      </c>
      <c r="E28" s="136" t="str">
        <f t="shared" si="0"/>
        <v>-</v>
      </c>
    </row>
    <row r="29" spans="2:7" x14ac:dyDescent="0.25">
      <c r="C29" s="854" t="s">
        <v>451</v>
      </c>
      <c r="D29" s="1088">
        <f ca="1">D290*'CALCUL - ABR-AR-AJA'!$C$2</f>
        <v>0</v>
      </c>
      <c r="E29" s="570"/>
    </row>
    <row r="30" spans="2:7" ht="18.75" x14ac:dyDescent="0.3">
      <c r="C30" s="1218" t="s">
        <v>452</v>
      </c>
      <c r="D30" s="1219">
        <f ca="1">SUM(D9:D29)</f>
        <v>0</v>
      </c>
      <c r="E30" s="570"/>
    </row>
    <row r="31" spans="2:7" ht="13.15" customHeight="1" x14ac:dyDescent="0.25">
      <c r="C31" s="130"/>
    </row>
    <row r="32" spans="2:7" ht="24" customHeight="1" thickBot="1" x14ac:dyDescent="0.35">
      <c r="B32" s="852"/>
      <c r="C32" s="853" t="s">
        <v>430</v>
      </c>
      <c r="D32" s="852"/>
      <c r="E32" s="852"/>
      <c r="F32" s="852"/>
      <c r="G32" s="852"/>
    </row>
    <row r="33" spans="3:7" ht="13.15" customHeight="1" thickBot="1" x14ac:dyDescent="0.3">
      <c r="C33" s="468" t="s">
        <v>453</v>
      </c>
      <c r="D33" s="481" t="s">
        <v>454</v>
      </c>
      <c r="E33" s="481" t="s">
        <v>455</v>
      </c>
      <c r="F33" s="482" t="s">
        <v>456</v>
      </c>
    </row>
    <row r="34" spans="3:7" ht="13.15" customHeight="1" x14ac:dyDescent="0.25">
      <c r="C34" s="483" t="s">
        <v>457</v>
      </c>
      <c r="D34" s="484">
        <f>'2. VOS DONNEES'!F34</f>
        <v>0</v>
      </c>
      <c r="E34" s="376">
        <f>'2. VOS DONNEES'!E34</f>
        <v>0</v>
      </c>
      <c r="F34" s="376">
        <f>'CALCUL - ABR-AR-AJA'!H11</f>
        <v>0</v>
      </c>
    </row>
    <row r="35" spans="3:7" ht="13.15" customHeight="1" x14ac:dyDescent="0.25">
      <c r="C35" s="485" t="s">
        <v>458</v>
      </c>
      <c r="D35" s="486">
        <f>'2. VOS DONNEES'!F35</f>
        <v>0</v>
      </c>
      <c r="E35" s="376">
        <f>'2. VOS DONNEES'!E35</f>
        <v>0</v>
      </c>
      <c r="F35" s="376">
        <f>'CALCUL - ABR-AR-AJA'!H12</f>
        <v>0</v>
      </c>
    </row>
    <row r="36" spans="3:7" ht="13.15" customHeight="1" x14ac:dyDescent="0.25">
      <c r="C36" s="485" t="s">
        <v>459</v>
      </c>
      <c r="D36" s="486">
        <f>'2. VOS DONNEES'!F36</f>
        <v>0</v>
      </c>
      <c r="E36" s="376">
        <f>'2. VOS DONNEES'!E36</f>
        <v>0</v>
      </c>
      <c r="F36" s="376">
        <f>'CALCUL - ABR-AR-AJA'!H13</f>
        <v>0</v>
      </c>
    </row>
    <row r="37" spans="3:7" ht="13.15" customHeight="1" x14ac:dyDescent="0.25">
      <c r="C37" s="485" t="s">
        <v>460</v>
      </c>
      <c r="D37" s="486">
        <f>'2. VOS DONNEES'!F37</f>
        <v>0</v>
      </c>
      <c r="E37" s="376">
        <f>'2. VOS DONNEES'!E37</f>
        <v>0</v>
      </c>
      <c r="F37" s="376">
        <f>'CALCUL - ABR-AR-AJA'!H14</f>
        <v>0</v>
      </c>
    </row>
    <row r="38" spans="3:7" ht="13.15" customHeight="1" x14ac:dyDescent="0.25">
      <c r="C38" s="485" t="s">
        <v>461</v>
      </c>
      <c r="D38" s="486">
        <f>'2. VOS DONNEES'!F38</f>
        <v>0</v>
      </c>
      <c r="E38" s="376">
        <f>'2. VOS DONNEES'!E38</f>
        <v>0</v>
      </c>
      <c r="F38" s="376">
        <f>'CALCUL - ABR-AR-AJA'!H15</f>
        <v>0</v>
      </c>
    </row>
    <row r="39" spans="3:7" ht="13.15" customHeight="1" x14ac:dyDescent="0.25">
      <c r="C39" s="487" t="s">
        <v>462</v>
      </c>
      <c r="D39" s="488">
        <f>'2. VOS DONNEES'!F39</f>
        <v>0</v>
      </c>
      <c r="E39" s="379">
        <f>'2. VOS DONNEES'!E39</f>
        <v>0</v>
      </c>
      <c r="F39" s="379">
        <f>'CALCUL - ABR-AR-AJA'!H16</f>
        <v>0</v>
      </c>
    </row>
    <row r="40" spans="3:7" ht="13.35" customHeight="1" x14ac:dyDescent="0.25">
      <c r="C40" s="1521" t="s">
        <v>463</v>
      </c>
      <c r="D40" s="1386"/>
      <c r="E40" s="1387"/>
      <c r="F40" s="476">
        <f>'CALCUL - ABR-AR-AJA'!H25</f>
        <v>0</v>
      </c>
    </row>
    <row r="41" spans="3:7" ht="30" customHeight="1" thickBot="1" x14ac:dyDescent="0.3">
      <c r="C41" s="1516" t="s">
        <v>464</v>
      </c>
      <c r="D41" s="1517"/>
      <c r="E41" s="1455"/>
      <c r="F41" s="490" t="str">
        <f>'CALCUL - ABR-AR-AJA'!H26</f>
        <v>Aide non plafonnée</v>
      </c>
    </row>
    <row r="42" spans="3:7" ht="13.15" customHeight="1" thickBot="1" x14ac:dyDescent="0.3">
      <c r="C42" s="1518" t="s">
        <v>465</v>
      </c>
      <c r="D42" s="1519"/>
      <c r="E42" s="1520"/>
      <c r="F42" s="822">
        <f>IF('CALCUL - ABR-AR-AJA'!D2="Calcul OK",'CALCUL - ABR-AR-AJA'!H27,0)</f>
        <v>0</v>
      </c>
    </row>
    <row r="43" spans="3:7" ht="7.15" customHeight="1" thickBot="1" x14ac:dyDescent="0.3">
      <c r="C43" s="130"/>
    </row>
    <row r="44" spans="3:7" ht="13.15" customHeight="1" thickBot="1" x14ac:dyDescent="0.3">
      <c r="C44" s="468" t="s">
        <v>466</v>
      </c>
      <c r="D44" s="481">
        <v>2023</v>
      </c>
      <c r="E44" s="481">
        <v>2024</v>
      </c>
      <c r="F44" s="44">
        <v>2025</v>
      </c>
      <c r="G44" s="556">
        <v>2026</v>
      </c>
    </row>
    <row r="45" spans="3:7" ht="13.15" customHeight="1" x14ac:dyDescent="0.25">
      <c r="C45" s="483" t="s">
        <v>457</v>
      </c>
      <c r="D45" s="555">
        <f>'CALCUL - ABR-AR-AJA'!H11</f>
        <v>0</v>
      </c>
      <c r="E45" s="555">
        <f>'CALCUL - ABR-AR-AJA'!I11</f>
        <v>0</v>
      </c>
      <c r="F45" s="555">
        <f>'CALCUL - ABR-AR-AJA'!J11</f>
        <v>0</v>
      </c>
      <c r="G45" s="557">
        <f>'CALCUL - ABR-AR-AJA'!K11</f>
        <v>0</v>
      </c>
    </row>
    <row r="46" spans="3:7" ht="13.15" customHeight="1" x14ac:dyDescent="0.25">
      <c r="C46" s="485" t="s">
        <v>458</v>
      </c>
      <c r="D46" s="555">
        <f>'CALCUL - ABR-AR-AJA'!H12</f>
        <v>0</v>
      </c>
      <c r="E46" s="555">
        <f>'CALCUL - ABR-AR-AJA'!I12</f>
        <v>0</v>
      </c>
      <c r="F46" s="555">
        <f>'CALCUL - ABR-AR-AJA'!J12</f>
        <v>0</v>
      </c>
      <c r="G46" s="557">
        <f>'CALCUL - ABR-AR-AJA'!K12</f>
        <v>0</v>
      </c>
    </row>
    <row r="47" spans="3:7" ht="13.15" customHeight="1" x14ac:dyDescent="0.25">
      <c r="C47" s="485" t="s">
        <v>459</v>
      </c>
      <c r="D47" s="555">
        <f>'CALCUL - ABR-AR-AJA'!H13</f>
        <v>0</v>
      </c>
      <c r="E47" s="555">
        <f>'CALCUL - ABR-AR-AJA'!I13</f>
        <v>0</v>
      </c>
      <c r="F47" s="555">
        <f>'CALCUL - ABR-AR-AJA'!J13</f>
        <v>0</v>
      </c>
      <c r="G47" s="557">
        <f>'CALCUL - ABR-AR-AJA'!K13</f>
        <v>0</v>
      </c>
    </row>
    <row r="48" spans="3:7" ht="13.15" customHeight="1" x14ac:dyDescent="0.25">
      <c r="C48" s="485" t="s">
        <v>460</v>
      </c>
      <c r="D48" s="555">
        <f>'CALCUL - ABR-AR-AJA'!H14</f>
        <v>0</v>
      </c>
      <c r="E48" s="555">
        <f>'CALCUL - ABR-AR-AJA'!I14</f>
        <v>0</v>
      </c>
      <c r="F48" s="555">
        <f>'CALCUL - ABR-AR-AJA'!J14</f>
        <v>0</v>
      </c>
      <c r="G48" s="557">
        <f>'CALCUL - ABR-AR-AJA'!K14</f>
        <v>0</v>
      </c>
    </row>
    <row r="49" spans="2:7" ht="13.15" customHeight="1" x14ac:dyDescent="0.25">
      <c r="C49" s="485" t="s">
        <v>461</v>
      </c>
      <c r="D49" s="555">
        <f>'CALCUL - ABR-AR-AJA'!H15</f>
        <v>0</v>
      </c>
      <c r="E49" s="555">
        <f>'CALCUL - ABR-AR-AJA'!I15</f>
        <v>0</v>
      </c>
      <c r="F49" s="555">
        <f>'CALCUL - ABR-AR-AJA'!J15</f>
        <v>0</v>
      </c>
      <c r="G49" s="557">
        <f>'CALCUL - ABR-AR-AJA'!K15</f>
        <v>0</v>
      </c>
    </row>
    <row r="50" spans="2:7" ht="13.15" customHeight="1" thickBot="1" x14ac:dyDescent="0.3">
      <c r="C50" s="558" t="s">
        <v>462</v>
      </c>
      <c r="D50" s="559">
        <f>'CALCUL - ABR-AR-AJA'!H16</f>
        <v>0</v>
      </c>
      <c r="E50" s="559">
        <f>'CALCUL - ABR-AR-AJA'!I16</f>
        <v>0</v>
      </c>
      <c r="F50" s="559">
        <f>'CALCUL - ABR-AR-AJA'!J16</f>
        <v>0</v>
      </c>
      <c r="G50" s="560">
        <f>'CALCUL - ABR-AR-AJA'!K16</f>
        <v>0</v>
      </c>
    </row>
    <row r="51" spans="2:7" ht="13.15" customHeight="1" x14ac:dyDescent="0.25">
      <c r="C51" s="130"/>
    </row>
    <row r="52" spans="2:7" ht="24" customHeight="1" thickBot="1" x14ac:dyDescent="0.35">
      <c r="B52" s="852"/>
      <c r="C52" s="853" t="s">
        <v>432</v>
      </c>
      <c r="D52" s="852"/>
      <c r="E52" s="852"/>
      <c r="F52" s="852"/>
      <c r="G52" s="852"/>
    </row>
    <row r="53" spans="2:7" s="370" customFormat="1" ht="13.15" customHeight="1" x14ac:dyDescent="0.25">
      <c r="C53" s="843" t="s">
        <v>467</v>
      </c>
      <c r="D53" s="844">
        <f>D55/D54</f>
        <v>0</v>
      </c>
    </row>
    <row r="54" spans="2:7" s="370" customFormat="1" ht="13.15" customHeight="1" thickBot="1" x14ac:dyDescent="0.3">
      <c r="C54" s="801" t="s">
        <v>468</v>
      </c>
      <c r="D54" s="802">
        <f>'CALCUL - ABR-AR-AJA'!B36</f>
        <v>143</v>
      </c>
    </row>
    <row r="55" spans="2:7" s="370" customFormat="1" ht="13.15" customHeight="1" thickBot="1" x14ac:dyDescent="0.3">
      <c r="C55" s="817" t="s">
        <v>469</v>
      </c>
      <c r="D55" s="819">
        <f>IF('CALCUL - ABR-AR-AJA'!$D$2="Calcul OK",'CALCUL - ABR-AR-AJA'!H44,0)</f>
        <v>0</v>
      </c>
    </row>
    <row r="56" spans="2:7" s="370" customFormat="1" ht="15" customHeight="1" thickBot="1" x14ac:dyDescent="0.35">
      <c r="C56" s="371"/>
    </row>
    <row r="57" spans="2:7" s="370" customFormat="1" ht="15" customHeight="1" thickBot="1" x14ac:dyDescent="0.3">
      <c r="C57" s="469" t="s">
        <v>470</v>
      </c>
    </row>
    <row r="58" spans="2:7" s="370" customFormat="1" ht="13.15" customHeight="1" thickBot="1" x14ac:dyDescent="0.3">
      <c r="C58" s="561" t="s">
        <v>471</v>
      </c>
      <c r="D58" s="562" t="s">
        <v>472</v>
      </c>
      <c r="E58" s="563" t="s">
        <v>473</v>
      </c>
    </row>
    <row r="59" spans="2:7" s="370" customFormat="1" ht="13.15" customHeight="1" x14ac:dyDescent="0.25">
      <c r="C59" s="372">
        <v>1</v>
      </c>
      <c r="D59" s="373">
        <f>'CALCUL - ABR-AR-AJA'!E38</f>
        <v>0</v>
      </c>
      <c r="E59" s="602">
        <f>'CALCUL - ABR-AR-AJA'!G38</f>
        <v>0</v>
      </c>
    </row>
    <row r="60" spans="2:7" s="370" customFormat="1" ht="13.15" customHeight="1" x14ac:dyDescent="0.25">
      <c r="C60" s="374">
        <v>2</v>
      </c>
      <c r="D60" s="375">
        <f>'CALCUL - ABR-AR-AJA'!E39</f>
        <v>0</v>
      </c>
      <c r="E60" s="602">
        <f>'CALCUL - ABR-AR-AJA'!G39</f>
        <v>0</v>
      </c>
    </row>
    <row r="61" spans="2:7" s="370" customFormat="1" ht="13.15" customHeight="1" x14ac:dyDescent="0.25">
      <c r="C61" s="374">
        <v>3</v>
      </c>
      <c r="D61" s="375">
        <f>'CALCUL - ABR-AR-AJA'!E40</f>
        <v>0</v>
      </c>
      <c r="E61" s="602">
        <f>'CALCUL - ABR-AR-AJA'!G40</f>
        <v>0</v>
      </c>
    </row>
    <row r="62" spans="2:7" s="370" customFormat="1" ht="13.15" customHeight="1" x14ac:dyDescent="0.25">
      <c r="C62" s="374">
        <v>4</v>
      </c>
      <c r="D62" s="375">
        <f>'CALCUL - ABR-AR-AJA'!E41</f>
        <v>0</v>
      </c>
      <c r="E62" s="602">
        <f>'CALCUL - ABR-AR-AJA'!G41</f>
        <v>0</v>
      </c>
    </row>
    <row r="63" spans="2:7" s="370" customFormat="1" ht="13.15" customHeight="1" x14ac:dyDescent="0.25">
      <c r="C63" s="374">
        <v>5</v>
      </c>
      <c r="D63" s="375">
        <f>'CALCUL - ABR-AR-AJA'!E42</f>
        <v>0</v>
      </c>
      <c r="E63" s="602">
        <f>'CALCUL - ABR-AR-AJA'!G42</f>
        <v>0</v>
      </c>
    </row>
    <row r="64" spans="2:7" s="370" customFormat="1" ht="13.15" customHeight="1" thickBot="1" x14ac:dyDescent="0.3">
      <c r="C64" s="377">
        <v>6</v>
      </c>
      <c r="D64" s="378">
        <f>'CALCUL - ABR-AR-AJA'!E43</f>
        <v>0</v>
      </c>
      <c r="E64" s="602">
        <f>'CALCUL - ABR-AR-AJA'!G43</f>
        <v>0</v>
      </c>
    </row>
    <row r="65" spans="2:7" ht="13.15" customHeight="1" thickBot="1" x14ac:dyDescent="0.3">
      <c r="C65" s="817" t="s">
        <v>469</v>
      </c>
      <c r="D65" s="820">
        <f>SUM(D59:D63)</f>
        <v>0</v>
      </c>
      <c r="E65" s="821">
        <f>IF('CALCUL - ABR-AR-AJA'!$D$2="Calcul OK",SUM(E59:E63),0)</f>
        <v>0</v>
      </c>
    </row>
    <row r="66" spans="2:7" ht="13.15" customHeight="1" x14ac:dyDescent="0.25">
      <c r="C66" s="130"/>
    </row>
    <row r="67" spans="2:7" ht="24" customHeight="1" thickBot="1" x14ac:dyDescent="0.35">
      <c r="B67" s="852"/>
      <c r="C67" s="853" t="s">
        <v>433</v>
      </c>
      <c r="D67" s="852"/>
      <c r="E67" s="852"/>
      <c r="F67" s="852"/>
      <c r="G67" s="852"/>
    </row>
    <row r="68" spans="2:7" s="370" customFormat="1" ht="13.15" customHeight="1" x14ac:dyDescent="0.25">
      <c r="C68" s="843" t="s">
        <v>467</v>
      </c>
      <c r="D68" s="844">
        <f>IFERROR('CALCUL - ABR-AR-AJA'!F63,0)</f>
        <v>0</v>
      </c>
    </row>
    <row r="69" spans="2:7" s="370" customFormat="1" ht="13.15" customHeight="1" x14ac:dyDescent="0.25">
      <c r="C69" s="803" t="s">
        <v>474</v>
      </c>
      <c r="D69" s="804">
        <f>'CALCUL - ABR-AR-AJA'!B50</f>
        <v>140</v>
      </c>
    </row>
    <row r="70" spans="2:7" s="370" customFormat="1" ht="13.15" customHeight="1" thickBot="1" x14ac:dyDescent="0.3">
      <c r="C70" s="801" t="s">
        <v>475</v>
      </c>
      <c r="D70" s="802">
        <f>'CALCUL - ABR-AR-AJA'!B51</f>
        <v>80</v>
      </c>
    </row>
    <row r="71" spans="2:7" s="370" customFormat="1" ht="13.15" customHeight="1" thickBot="1" x14ac:dyDescent="0.3">
      <c r="C71" s="817" t="s">
        <v>469</v>
      </c>
      <c r="D71" s="819">
        <f>IF('CALCUL - ABR-AR-AJA'!$D$2="Calcul OK",('CALCUL - ABR-AR-AJA'!J60),0)</f>
        <v>0</v>
      </c>
    </row>
    <row r="72" spans="2:7" ht="13.15" customHeight="1" x14ac:dyDescent="0.25">
      <c r="C72" s="130"/>
    </row>
    <row r="73" spans="2:7" ht="13.15" customHeight="1" x14ac:dyDescent="0.25">
      <c r="C73" s="130"/>
    </row>
    <row r="74" spans="2:7" ht="24" customHeight="1" thickBot="1" x14ac:dyDescent="0.35">
      <c r="B74" s="852"/>
      <c r="C74" s="853" t="s">
        <v>476</v>
      </c>
      <c r="D74" s="852"/>
      <c r="E74" s="852"/>
      <c r="F74" s="852"/>
      <c r="G74" s="852"/>
    </row>
    <row r="75" spans="2:7" x14ac:dyDescent="0.25">
      <c r="C75" s="470" t="s">
        <v>477</v>
      </c>
      <c r="D75" s="477">
        <f>'CALCUL - SC'!B11</f>
        <v>0</v>
      </c>
    </row>
    <row r="76" spans="2:7" x14ac:dyDescent="0.25">
      <c r="C76" s="851" t="s">
        <v>478</v>
      </c>
      <c r="D76" s="849">
        <f>D78/D77</f>
        <v>0</v>
      </c>
    </row>
    <row r="77" spans="2:7" x14ac:dyDescent="0.25">
      <c r="C77" s="803" t="s">
        <v>479</v>
      </c>
      <c r="D77" s="804">
        <f>'CALCUL - SC'!B10</f>
        <v>27</v>
      </c>
    </row>
    <row r="78" spans="2:7" ht="15.75" thickBot="1" x14ac:dyDescent="0.3">
      <c r="C78" s="815" t="s">
        <v>480</v>
      </c>
      <c r="D78" s="816">
        <f>IF('CALCUL - ABR-AR-AJA'!$D$2="Calcul OK",'CALCUL - SC'!G19,0)</f>
        <v>0</v>
      </c>
    </row>
    <row r="79" spans="2:7" ht="28.5" x14ac:dyDescent="0.25">
      <c r="C79" s="592" t="s">
        <v>481</v>
      </c>
      <c r="D79" s="477">
        <f>'CALCUL - SC'!B28</f>
        <v>0</v>
      </c>
    </row>
    <row r="80" spans="2:7" x14ac:dyDescent="0.25">
      <c r="C80" s="838" t="s">
        <v>478</v>
      </c>
      <c r="D80" s="849">
        <f>D82/D81</f>
        <v>0</v>
      </c>
    </row>
    <row r="81" spans="2:7" x14ac:dyDescent="0.25">
      <c r="C81" s="803" t="s">
        <v>479</v>
      </c>
      <c r="D81" s="804">
        <f>'CALCUL - SC'!B29</f>
        <v>25</v>
      </c>
    </row>
    <row r="82" spans="2:7" ht="15.75" thickBot="1" x14ac:dyDescent="0.3">
      <c r="C82" s="845" t="s">
        <v>482</v>
      </c>
      <c r="D82" s="846">
        <f>IF('CALCUL - ABR-AR-AJA'!$D$2="Calcul OK",'CALCUL - SC'!G41,0)</f>
        <v>0</v>
      </c>
    </row>
    <row r="83" spans="2:7" ht="28.5" x14ac:dyDescent="0.25">
      <c r="C83" s="592" t="s">
        <v>483</v>
      </c>
      <c r="D83" s="477">
        <f>'CALCUL - SC'!B49</f>
        <v>0</v>
      </c>
    </row>
    <row r="84" spans="2:7" x14ac:dyDescent="0.25">
      <c r="C84" s="838" t="s">
        <v>478</v>
      </c>
      <c r="D84" s="849">
        <f>D86/D85</f>
        <v>0</v>
      </c>
    </row>
    <row r="85" spans="2:7" x14ac:dyDescent="0.25">
      <c r="C85" s="803" t="s">
        <v>484</v>
      </c>
      <c r="D85" s="804">
        <f>'CALCUL - SC'!B50</f>
        <v>150</v>
      </c>
    </row>
    <row r="86" spans="2:7" ht="15.75" thickBot="1" x14ac:dyDescent="0.3">
      <c r="C86" s="847" t="s">
        <v>485</v>
      </c>
      <c r="D86" s="848">
        <f>IF('CALCUL - ABR-AR-AJA'!$D$2="Calcul OK",'CALCUL - SC'!G63,0)</f>
        <v>0</v>
      </c>
    </row>
    <row r="87" spans="2:7" ht="39.6" customHeight="1" x14ac:dyDescent="0.25">
      <c r="C87" s="592" t="s">
        <v>486</v>
      </c>
      <c r="D87" s="477">
        <f>'CALCUL - SC'!B72*$G$87</f>
        <v>0</v>
      </c>
      <c r="G87" s="1238">
        <f>IF('2. VOS DONNEES'!E123="non",0,1)</f>
        <v>1</v>
      </c>
    </row>
    <row r="88" spans="2:7" x14ac:dyDescent="0.25">
      <c r="C88" s="1237" t="s">
        <v>487</v>
      </c>
      <c r="D88" s="1236">
        <v>5</v>
      </c>
    </row>
    <row r="89" spans="2:7" x14ac:dyDescent="0.25">
      <c r="C89" s="65" t="s">
        <v>488</v>
      </c>
      <c r="D89" s="593">
        <f>'CALCUL - SC'!B79*G87</f>
        <v>99999999</v>
      </c>
    </row>
    <row r="90" spans="2:7" ht="13.9" customHeight="1" x14ac:dyDescent="0.25">
      <c r="C90" s="838" t="s">
        <v>489</v>
      </c>
      <c r="D90" s="850">
        <f>'CALCUL - SC'!B80</f>
        <v>0</v>
      </c>
    </row>
    <row r="91" spans="2:7" ht="13.9" customHeight="1" x14ac:dyDescent="0.25">
      <c r="C91" s="838" t="s">
        <v>478</v>
      </c>
      <c r="D91" s="850">
        <f>D93/D92</f>
        <v>0</v>
      </c>
    </row>
    <row r="92" spans="2:7" ht="13.9" customHeight="1" x14ac:dyDescent="0.25">
      <c r="C92" s="803" t="s">
        <v>484</v>
      </c>
      <c r="D92" s="804">
        <f>'CALCUL - SC'!B73</f>
        <v>178</v>
      </c>
    </row>
    <row r="93" spans="2:7" ht="13.9" customHeight="1" thickBot="1" x14ac:dyDescent="0.3">
      <c r="C93" s="845" t="s">
        <v>490</v>
      </c>
      <c r="D93" s="846">
        <f>IF('CALCUL - ABR-AR-AJA'!$D$2="Calcul OK",'CALCUL - SC'!G91,0)</f>
        <v>0</v>
      </c>
    </row>
    <row r="94" spans="2:7" ht="13.9" customHeight="1" thickBot="1" x14ac:dyDescent="0.3">
      <c r="C94" s="817" t="s">
        <v>469</v>
      </c>
      <c r="D94" s="818">
        <f>IF('CALCUL - ABR-AR-AJA'!$D$2="Calcul OK",D93+D86+D82+D78,0)</f>
        <v>0</v>
      </c>
    </row>
    <row r="95" spans="2:7" ht="15.75" customHeight="1" x14ac:dyDescent="0.25"/>
    <row r="96" spans="2:7" ht="24" customHeight="1" thickBot="1" x14ac:dyDescent="0.35">
      <c r="B96" s="852"/>
      <c r="C96" s="853" t="s">
        <v>491</v>
      </c>
      <c r="D96" s="852"/>
      <c r="E96" s="852"/>
      <c r="F96" s="852"/>
      <c r="G96" s="852"/>
    </row>
    <row r="97" spans="2:7" x14ac:dyDescent="0.25">
      <c r="C97" s="843" t="s">
        <v>467</v>
      </c>
      <c r="D97" s="844">
        <f>'CALCUL - SCP'!B18</f>
        <v>0</v>
      </c>
    </row>
    <row r="98" spans="2:7" ht="15.75" thickBot="1" x14ac:dyDescent="0.3">
      <c r="C98" s="801" t="s">
        <v>468</v>
      </c>
      <c r="D98" s="802">
        <f>'CALCUL - SCP'!B20</f>
        <v>375</v>
      </c>
    </row>
    <row r="99" spans="2:7" ht="15.75" thickBot="1" x14ac:dyDescent="0.3">
      <c r="C99" s="817" t="s">
        <v>469</v>
      </c>
      <c r="D99" s="828">
        <f>IF('CALCUL - ABR-AR-AJA'!$D$2="Calcul OK",'CALCUL - SCP'!B23,0)</f>
        <v>0</v>
      </c>
    </row>
    <row r="100" spans="2:7" x14ac:dyDescent="0.25">
      <c r="D100" s="239"/>
    </row>
    <row r="101" spans="2:7" ht="24" customHeight="1" thickBot="1" x14ac:dyDescent="0.35">
      <c r="B101" s="852"/>
      <c r="C101" s="853" t="s">
        <v>492</v>
      </c>
      <c r="D101" s="852"/>
      <c r="E101" s="852"/>
      <c r="F101" s="852"/>
      <c r="G101" s="852"/>
    </row>
    <row r="102" spans="2:7" x14ac:dyDescent="0.25">
      <c r="C102" s="470" t="s">
        <v>493</v>
      </c>
      <c r="D102" s="471">
        <f>'CALCUL - MAEC CereP'!B18</f>
        <v>0</v>
      </c>
    </row>
    <row r="103" spans="2:7" x14ac:dyDescent="0.25">
      <c r="C103" s="435" t="s">
        <v>494</v>
      </c>
      <c r="D103" s="645">
        <f>'CALCUL - MAEC CereP'!B19</f>
        <v>0</v>
      </c>
    </row>
    <row r="104" spans="2:7" x14ac:dyDescent="0.25">
      <c r="C104" s="65" t="s">
        <v>495</v>
      </c>
      <c r="D104" s="478" t="str">
        <f>'CALCUL - MAEC CereP'!B20</f>
        <v>PAS PLAFOND CEREALES S/PIED</v>
      </c>
    </row>
    <row r="105" spans="2:7" x14ac:dyDescent="0.25">
      <c r="C105" s="65" t="s">
        <v>496</v>
      </c>
      <c r="D105" s="478" t="str">
        <f>'CALCUL - MAEC CereP'!B30</f>
        <v>-</v>
      </c>
    </row>
    <row r="106" spans="2:7" x14ac:dyDescent="0.25">
      <c r="C106" s="833" t="s">
        <v>467</v>
      </c>
      <c r="D106" s="839">
        <f>'CALCUL - MAEC CereP'!B33</f>
        <v>0</v>
      </c>
    </row>
    <row r="107" spans="2:7" ht="15.75" thickBot="1" x14ac:dyDescent="0.3">
      <c r="C107" s="801" t="s">
        <v>468</v>
      </c>
      <c r="D107" s="805">
        <f>'CALCUL - MAEC CereP'!B22</f>
        <v>2400</v>
      </c>
    </row>
    <row r="108" spans="2:7" ht="15.75" thickBot="1" x14ac:dyDescent="0.3">
      <c r="C108" s="817" t="s">
        <v>469</v>
      </c>
      <c r="D108" s="828">
        <f>IF('CALCUL - ABR-AR-AJA'!$D$2="Calcul OK",'CALCUL - MAEC CereP'!B34,0)</f>
        <v>0</v>
      </c>
    </row>
    <row r="110" spans="2:7" ht="24" customHeight="1" thickBot="1" x14ac:dyDescent="0.35">
      <c r="B110" s="852"/>
      <c r="C110" s="853" t="s">
        <v>497</v>
      </c>
      <c r="D110" s="852"/>
      <c r="E110" s="852"/>
      <c r="F110" s="852"/>
      <c r="G110" s="852"/>
    </row>
    <row r="111" spans="2:7" x14ac:dyDescent="0.25">
      <c r="C111" s="470" t="s">
        <v>494</v>
      </c>
      <c r="D111" s="471">
        <f>'CALCUL - MAEC TENHERBEE'!B4</f>
        <v>0</v>
      </c>
    </row>
    <row r="112" spans="2:7" x14ac:dyDescent="0.25">
      <c r="C112" s="65" t="s">
        <v>496</v>
      </c>
      <c r="D112" s="479" t="str">
        <f>'CALCUL - MAEC TENHERBEE'!B11</f>
        <v>-</v>
      </c>
    </row>
    <row r="113" spans="2:7" x14ac:dyDescent="0.25">
      <c r="C113" s="833" t="s">
        <v>467</v>
      </c>
      <c r="D113" s="839">
        <f>'CALCUL - MAEC TENHERBEE'!B18</f>
        <v>0</v>
      </c>
    </row>
    <row r="114" spans="2:7" ht="15.75" thickBot="1" x14ac:dyDescent="0.3">
      <c r="C114" s="801" t="s">
        <v>468</v>
      </c>
      <c r="D114" s="806">
        <v>1100</v>
      </c>
    </row>
    <row r="115" spans="2:7" ht="15.75" thickBot="1" x14ac:dyDescent="0.3">
      <c r="C115" s="817" t="s">
        <v>469</v>
      </c>
      <c r="D115" s="826">
        <f>IF('CALCUL - ABR-AR-AJA'!$D$2="Calcul OK",'CALCUL - MAEC TENHERBEE'!B19,0)</f>
        <v>0</v>
      </c>
    </row>
    <row r="117" spans="2:7" ht="24" customHeight="1" thickBot="1" x14ac:dyDescent="0.35">
      <c r="B117" s="852"/>
      <c r="C117" s="853" t="s">
        <v>498</v>
      </c>
      <c r="D117" s="852"/>
      <c r="E117" s="852"/>
      <c r="F117" s="852"/>
      <c r="G117" s="852"/>
    </row>
    <row r="118" spans="2:7" x14ac:dyDescent="0.25">
      <c r="C118" s="470" t="s">
        <v>494</v>
      </c>
      <c r="D118" s="471">
        <f>'CALCUL - MAEC PARCTOURNAMENAGEE'!B6</f>
        <v>0</v>
      </c>
    </row>
    <row r="119" spans="2:7" x14ac:dyDescent="0.25">
      <c r="C119" s="65" t="s">
        <v>496</v>
      </c>
      <c r="D119" s="479" t="str">
        <f>'CALCUL - MAEC PARCTOURNAMENAGEE'!B11</f>
        <v>-</v>
      </c>
    </row>
    <row r="120" spans="2:7" x14ac:dyDescent="0.25">
      <c r="C120" s="833" t="s">
        <v>467</v>
      </c>
      <c r="D120" s="839">
        <f>'CALCUL - MAEC PARCTOURNAMENAGEE'!B18</f>
        <v>0</v>
      </c>
    </row>
    <row r="121" spans="2:7" ht="15.75" thickBot="1" x14ac:dyDescent="0.3">
      <c r="C121" s="801" t="s">
        <v>468</v>
      </c>
      <c r="D121" s="806">
        <v>1600</v>
      </c>
    </row>
    <row r="122" spans="2:7" ht="15.75" thickBot="1" x14ac:dyDescent="0.3">
      <c r="C122" s="817" t="s">
        <v>469</v>
      </c>
      <c r="D122" s="828">
        <f>IF('CALCUL - ABR-AR-AJA'!$D$2="Calcul OK",'CALCUL - MAEC PARCTOURNAMENAGEE'!B19,0)</f>
        <v>0</v>
      </c>
    </row>
    <row r="124" spans="2:7" ht="24" customHeight="1" thickBot="1" x14ac:dyDescent="0.35">
      <c r="B124" s="852"/>
      <c r="C124" s="853" t="s">
        <v>499</v>
      </c>
      <c r="D124" s="852"/>
      <c r="E124" s="852"/>
      <c r="F124" s="852"/>
      <c r="G124" s="852"/>
    </row>
    <row r="125" spans="2:7" x14ac:dyDescent="0.25">
      <c r="C125" s="470" t="s">
        <v>500</v>
      </c>
      <c r="D125" s="471">
        <f>'CALCUL - MAEC AF'!B25</f>
        <v>0</v>
      </c>
      <c r="F125" s="1238">
        <f>IF('2. VOS DONNEES'!E173="non",0,1)</f>
        <v>0</v>
      </c>
    </row>
    <row r="126" spans="2:7" x14ac:dyDescent="0.25">
      <c r="C126" s="65" t="s">
        <v>501</v>
      </c>
      <c r="D126" s="472">
        <f>'CALCUL - MAEC AF'!B24</f>
        <v>0</v>
      </c>
    </row>
    <row r="127" spans="2:7" x14ac:dyDescent="0.25">
      <c r="C127" s="65" t="s">
        <v>502</v>
      </c>
      <c r="D127" s="506">
        <f>'CALCUL - MAEC AF'!B47*F125</f>
        <v>0</v>
      </c>
    </row>
    <row r="128" spans="2:7" x14ac:dyDescent="0.25">
      <c r="C128" s="65" t="s">
        <v>488</v>
      </c>
      <c r="D128" s="507">
        <f>'CALCUL - MAEC AF'!B51*F125</f>
        <v>0</v>
      </c>
    </row>
    <row r="129" spans="2:7" ht="16.899999999999999" customHeight="1" x14ac:dyDescent="0.25">
      <c r="C129" s="838" t="s">
        <v>503</v>
      </c>
      <c r="D129" s="839">
        <f>'CALCUL - MAEC AF'!B53</f>
        <v>0</v>
      </c>
    </row>
    <row r="130" spans="2:7" ht="16.899999999999999" customHeight="1" thickBot="1" x14ac:dyDescent="0.3">
      <c r="C130" s="801" t="s">
        <v>468</v>
      </c>
      <c r="D130" s="807">
        <f>'CALCUL - MAEC AF'!B52</f>
        <v>0</v>
      </c>
    </row>
    <row r="131" spans="2:7" ht="15.75" thickBot="1" x14ac:dyDescent="0.3">
      <c r="C131" s="817" t="s">
        <v>469</v>
      </c>
      <c r="D131" s="827">
        <f>IF('CALCUL - ABR-AR-AJA'!$D$2="Calcul OK",'CALCUL - MAEC AF'!B55,0)</f>
        <v>0</v>
      </c>
    </row>
    <row r="132" spans="2:7" x14ac:dyDescent="0.25">
      <c r="D132" s="244"/>
    </row>
    <row r="133" spans="2:7" ht="24" customHeight="1" thickBot="1" x14ac:dyDescent="0.35">
      <c r="B133" s="852"/>
      <c r="C133" s="853" t="s">
        <v>504</v>
      </c>
      <c r="D133" s="855"/>
      <c r="E133" s="852"/>
      <c r="F133" s="852"/>
      <c r="G133" s="852"/>
    </row>
    <row r="134" spans="2:7" x14ac:dyDescent="0.25">
      <c r="C134" s="470" t="s">
        <v>494</v>
      </c>
      <c r="D134" s="471">
        <f>'CALCUL -  MAEC PHVB'!D10</f>
        <v>0</v>
      </c>
    </row>
    <row r="135" spans="2:7" x14ac:dyDescent="0.25">
      <c r="C135" s="435" t="s">
        <v>505</v>
      </c>
      <c r="D135" s="645">
        <f>'CALCUL -  MAEC PHVB'!D18</f>
        <v>0</v>
      </c>
    </row>
    <row r="136" spans="2:7" x14ac:dyDescent="0.25">
      <c r="C136" s="838" t="s">
        <v>506</v>
      </c>
      <c r="D136" s="839">
        <f>'CALCUL -  MAEC PHVB'!D15</f>
        <v>0</v>
      </c>
    </row>
    <row r="137" spans="2:7" x14ac:dyDescent="0.25">
      <c r="C137" s="838" t="s">
        <v>507</v>
      </c>
      <c r="D137" s="839">
        <f>D134-D136-D135</f>
        <v>0</v>
      </c>
    </row>
    <row r="138" spans="2:7" x14ac:dyDescent="0.25">
      <c r="C138" s="803" t="s">
        <v>508</v>
      </c>
      <c r="D138" s="808">
        <v>250</v>
      </c>
    </row>
    <row r="139" spans="2:7" x14ac:dyDescent="0.25">
      <c r="C139" s="803" t="s">
        <v>509</v>
      </c>
      <c r="D139" s="808">
        <v>470</v>
      </c>
    </row>
    <row r="140" spans="2:7" x14ac:dyDescent="0.25">
      <c r="C140" s="834" t="s">
        <v>510</v>
      </c>
      <c r="D140" s="841">
        <f>D136*D138</f>
        <v>0</v>
      </c>
    </row>
    <row r="141" spans="2:7" ht="15.75" thickBot="1" x14ac:dyDescent="0.3">
      <c r="C141" s="836" t="s">
        <v>511</v>
      </c>
      <c r="D141" s="842">
        <f>D139*D137</f>
        <v>0</v>
      </c>
      <c r="E141" s="239"/>
    </row>
    <row r="142" spans="2:7" ht="15.75" thickBot="1" x14ac:dyDescent="0.3">
      <c r="C142" s="817" t="s">
        <v>469</v>
      </c>
      <c r="D142" s="827">
        <f>IF('CALCUL - ABR-AR-AJA'!$D$2="Calcul OK",'CALCUL -  MAEC PHVB'!D24,0)</f>
        <v>0</v>
      </c>
    </row>
    <row r="143" spans="2:7" x14ac:dyDescent="0.25">
      <c r="D143" s="244"/>
    </row>
    <row r="144" spans="2:7" ht="24" customHeight="1" thickBot="1" x14ac:dyDescent="0.35">
      <c r="B144" s="852"/>
      <c r="C144" s="853" t="s">
        <v>512</v>
      </c>
      <c r="D144" s="855"/>
      <c r="E144" s="852"/>
      <c r="F144" s="852"/>
      <c r="G144" s="852"/>
    </row>
    <row r="145" spans="2:7" x14ac:dyDescent="0.25">
      <c r="C145" s="470" t="s">
        <v>513</v>
      </c>
      <c r="D145" s="471">
        <f>'CALCUL - MAEC PNATURELLES'!D11</f>
        <v>0</v>
      </c>
    </row>
    <row r="146" spans="2:7" x14ac:dyDescent="0.25">
      <c r="C146" s="435" t="s">
        <v>514</v>
      </c>
      <c r="D146" s="646">
        <f>'CALCUL - MAEC PNATURELLES'!D7+'CALCUL - MAEC PNATURELLES'!D8</f>
        <v>0</v>
      </c>
    </row>
    <row r="147" spans="2:7" x14ac:dyDescent="0.25">
      <c r="C147" s="838" t="s">
        <v>467</v>
      </c>
      <c r="D147" s="840">
        <f>D145-D146</f>
        <v>0</v>
      </c>
    </row>
    <row r="148" spans="2:7" x14ac:dyDescent="0.25">
      <c r="C148" s="803" t="s">
        <v>515</v>
      </c>
      <c r="D148" s="808">
        <v>220</v>
      </c>
    </row>
    <row r="149" spans="2:7" ht="15.75" thickBot="1" x14ac:dyDescent="0.3">
      <c r="C149" s="65" t="s">
        <v>516</v>
      </c>
      <c r="D149" s="649" t="str">
        <f>'CALCUL - MAEC PNATURELLES'!D14</f>
        <v>KO</v>
      </c>
    </row>
    <row r="150" spans="2:7" ht="15.75" thickBot="1" x14ac:dyDescent="0.3">
      <c r="C150" s="817" t="s">
        <v>469</v>
      </c>
      <c r="D150" s="821">
        <f>IF('CALCUL - ABR-AR-AJA'!$D$2="Calcul OK",'CALCUL - MAEC PNATURELLES'!D16,0)</f>
        <v>0</v>
      </c>
      <c r="E150" s="239"/>
    </row>
    <row r="151" spans="2:7" x14ac:dyDescent="0.25">
      <c r="D151" s="244"/>
    </row>
    <row r="152" spans="2:7" ht="24" customHeight="1" x14ac:dyDescent="0.3">
      <c r="B152" s="852"/>
      <c r="C152" s="853" t="s">
        <v>517</v>
      </c>
      <c r="D152" s="855"/>
      <c r="E152" s="852"/>
      <c r="F152" s="852"/>
      <c r="G152" s="852"/>
    </row>
    <row r="153" spans="2:7" ht="24" customHeight="1" thickBot="1" x14ac:dyDescent="0.35">
      <c r="C153" s="1090"/>
      <c r="D153" s="244"/>
    </row>
    <row r="154" spans="2:7" ht="24" hidden="1" customHeight="1" x14ac:dyDescent="0.3">
      <c r="C154" s="1089" t="s">
        <v>518</v>
      </c>
      <c r="D154" s="1091" t="str">
        <f>IF(AND('2. VOS DONNEES'!E205="NON",'2. VOS DONNEES'!E206="NON"),"NON","OUI")</f>
        <v>NON</v>
      </c>
    </row>
    <row r="155" spans="2:7" x14ac:dyDescent="0.25">
      <c r="B155" s="619"/>
      <c r="C155" s="1015" t="s">
        <v>519</v>
      </c>
      <c r="D155" s="1016">
        <f>IF(AND('CALCUL MAEC SOL'!C14="OUI",'CALCUL MAEC SOL'!C15="OUI"),'CALCUL MAEC SOL'!C4-'CALCUL MAEC SOL'!C17-'CALCUL MAEC SOL'!C18,0)</f>
        <v>0</v>
      </c>
      <c r="E155" s="619"/>
      <c r="F155" s="619"/>
      <c r="G155" s="619"/>
    </row>
    <row r="156" spans="2:7" ht="15.75" thickBot="1" x14ac:dyDescent="0.3">
      <c r="B156" s="619"/>
      <c r="C156" s="838" t="s">
        <v>520</v>
      </c>
      <c r="D156" s="840">
        <f>'CALCUL MAEC SOL'!C20</f>
        <v>0</v>
      </c>
      <c r="E156" s="619"/>
      <c r="F156" s="619"/>
      <c r="G156" s="619"/>
    </row>
    <row r="157" spans="2:7" x14ac:dyDescent="0.25">
      <c r="B157" s="619"/>
      <c r="C157" s="1023" t="s">
        <v>521</v>
      </c>
      <c r="D157" s="1024">
        <f>'CALCUL MAEC SOL'!C22</f>
        <v>0</v>
      </c>
      <c r="E157" s="619"/>
      <c r="F157" s="619"/>
      <c r="G157" s="619"/>
    </row>
    <row r="158" spans="2:7" x14ac:dyDescent="0.25">
      <c r="B158" s="619"/>
      <c r="C158" s="1025" t="s">
        <v>522</v>
      </c>
      <c r="D158" s="1026">
        <f>'CALCUL MAEC SOL'!C23</f>
        <v>0</v>
      </c>
      <c r="E158" s="619"/>
      <c r="F158" s="619"/>
      <c r="G158" s="619"/>
    </row>
    <row r="159" spans="2:7" ht="15.75" thickBot="1" x14ac:dyDescent="0.3">
      <c r="B159" s="619"/>
      <c r="C159" s="1027" t="s">
        <v>523</v>
      </c>
      <c r="D159" s="1028">
        <f>'CALCUL MAEC SOL'!C24</f>
        <v>0</v>
      </c>
      <c r="E159" s="619"/>
      <c r="F159" s="619"/>
      <c r="G159" s="619"/>
    </row>
    <row r="160" spans="2:7" ht="26.25" customHeight="1" x14ac:dyDescent="0.25">
      <c r="B160" s="619"/>
      <c r="C160" s="1023" t="s">
        <v>524</v>
      </c>
      <c r="D160" s="1024">
        <f>'CALCUL MAEC SOL'!C25</f>
        <v>0</v>
      </c>
      <c r="E160" s="619"/>
      <c r="F160" s="619"/>
      <c r="G160" s="619"/>
    </row>
    <row r="161" spans="2:8" ht="25.5" customHeight="1" x14ac:dyDescent="0.25">
      <c r="B161" s="619"/>
      <c r="C161" s="1025" t="s">
        <v>525</v>
      </c>
      <c r="D161" s="1026">
        <f>'CALCUL MAEC SOL'!C26</f>
        <v>0</v>
      </c>
      <c r="E161" s="619"/>
      <c r="F161" s="619"/>
      <c r="G161" s="619"/>
    </row>
    <row r="162" spans="2:8" ht="30.75" customHeight="1" thickBot="1" x14ac:dyDescent="0.3">
      <c r="B162" s="619"/>
      <c r="C162" s="1027" t="s">
        <v>526</v>
      </c>
      <c r="D162" s="1028">
        <f>'CALCUL MAEC SOL'!C27</f>
        <v>0</v>
      </c>
      <c r="E162" s="619"/>
      <c r="F162" s="619"/>
      <c r="G162" s="619"/>
    </row>
    <row r="163" spans="2:8" ht="15.75" thickBot="1" x14ac:dyDescent="0.3">
      <c r="B163" s="619"/>
      <c r="C163" s="803" t="s">
        <v>527</v>
      </c>
      <c r="D163" s="808">
        <v>500</v>
      </c>
      <c r="E163" s="619"/>
      <c r="F163" s="619"/>
      <c r="G163" s="619"/>
    </row>
    <row r="164" spans="2:8" x14ac:dyDescent="0.25">
      <c r="B164" s="619"/>
      <c r="C164" s="1015" t="s">
        <v>528</v>
      </c>
      <c r="D164" s="1018">
        <f>IF(D154="NON",0,('CALCUL MAEC SOL'!C38))</f>
        <v>0</v>
      </c>
      <c r="E164" s="619"/>
      <c r="F164" s="619"/>
      <c r="G164" s="619"/>
    </row>
    <row r="165" spans="2:8" x14ac:dyDescent="0.25">
      <c r="B165" s="619"/>
      <c r="C165" s="1017" t="s">
        <v>529</v>
      </c>
      <c r="D165" s="1019" t="str">
        <f>IFERROR('CALCUL MAEC SOL'!C50,"-")</f>
        <v>-</v>
      </c>
      <c r="E165" s="619"/>
      <c r="F165" s="619"/>
      <c r="G165" s="619"/>
    </row>
    <row r="166" spans="2:8" ht="30.75" customHeight="1" thickBot="1" x14ac:dyDescent="0.3">
      <c r="B166" s="619"/>
      <c r="C166" s="1049" t="s">
        <v>530</v>
      </c>
      <c r="D166" s="1020" t="str">
        <f>IFERROR('CALCUL MAEC SOL'!C53,"-")</f>
        <v>-</v>
      </c>
      <c r="E166" s="619"/>
      <c r="F166" s="619"/>
      <c r="G166" s="619"/>
    </row>
    <row r="167" spans="2:8" ht="15.75" thickBot="1" x14ac:dyDescent="0.3">
      <c r="B167" s="619"/>
      <c r="C167" s="817" t="s">
        <v>531</v>
      </c>
      <c r="D167" s="821">
        <f>IFERROR(D164*4+D165+D166,0)</f>
        <v>0</v>
      </c>
      <c r="E167" s="619"/>
      <c r="F167" s="619"/>
      <c r="G167" s="619"/>
    </row>
    <row r="168" spans="2:8" ht="15.75" thickBot="1" x14ac:dyDescent="0.3">
      <c r="B168" s="619"/>
      <c r="C168" s="130"/>
      <c r="D168" s="1050"/>
      <c r="E168" s="619"/>
      <c r="F168" s="619"/>
      <c r="G168" s="619"/>
    </row>
    <row r="169" spans="2:8" x14ac:dyDescent="0.25">
      <c r="B169" s="1058"/>
      <c r="C169" s="1056" t="s">
        <v>532</v>
      </c>
      <c r="D169" s="1051">
        <v>2023</v>
      </c>
      <c r="E169" s="1051">
        <v>2024</v>
      </c>
      <c r="F169" s="1051">
        <v>2025</v>
      </c>
      <c r="G169" s="1051">
        <v>2026</v>
      </c>
      <c r="H169" s="1054">
        <v>2027</v>
      </c>
    </row>
    <row r="170" spans="2:8" ht="15.75" thickBot="1" x14ac:dyDescent="0.3">
      <c r="B170" s="1058"/>
      <c r="C170" s="1057" t="s">
        <v>533</v>
      </c>
      <c r="D170" s="1052">
        <f>D164</f>
        <v>0</v>
      </c>
      <c r="E170" s="1053">
        <f>D164</f>
        <v>0</v>
      </c>
      <c r="F170" s="1053">
        <f>D164</f>
        <v>0</v>
      </c>
      <c r="G170" s="1053">
        <f>D164</f>
        <v>0</v>
      </c>
      <c r="H170" s="1055" t="str">
        <f>IFERROR(D165+D166,"-")</f>
        <v>-</v>
      </c>
    </row>
    <row r="171" spans="2:8" x14ac:dyDescent="0.25">
      <c r="B171" s="619"/>
      <c r="C171" s="619"/>
      <c r="D171" s="619"/>
      <c r="E171" s="619"/>
      <c r="F171" s="619"/>
      <c r="G171" s="619"/>
    </row>
    <row r="172" spans="2:8" ht="19.5" thickBot="1" x14ac:dyDescent="0.35">
      <c r="B172" s="852"/>
      <c r="C172" s="853" t="s">
        <v>534</v>
      </c>
      <c r="D172" s="855"/>
      <c r="E172" s="852"/>
      <c r="F172" s="852"/>
      <c r="G172" s="852"/>
    </row>
    <row r="173" spans="2:8" x14ac:dyDescent="0.25">
      <c r="C173" s="1118" t="s">
        <v>535</v>
      </c>
      <c r="D173" s="299">
        <f>IF('CALCUL - MAEC RACES'!B4=1,'CALCUL - MAEC RACES'!B5,0)</f>
        <v>0</v>
      </c>
    </row>
    <row r="174" spans="2:8" x14ac:dyDescent="0.25">
      <c r="C174" s="803" t="s">
        <v>536</v>
      </c>
      <c r="D174" s="1116">
        <v>40</v>
      </c>
    </row>
    <row r="175" spans="2:8" x14ac:dyDescent="0.25">
      <c r="C175" s="834" t="s">
        <v>537</v>
      </c>
      <c r="D175" s="1117">
        <f>'CALCUL - MAEC RACES'!B7</f>
        <v>0</v>
      </c>
    </row>
    <row r="176" spans="2:8" x14ac:dyDescent="0.25">
      <c r="C176" s="1100" t="s">
        <v>538</v>
      </c>
      <c r="D176" s="131">
        <f>'CALCUL - MAEC RACES'!B8</f>
        <v>0</v>
      </c>
    </row>
    <row r="177" spans="2:7" x14ac:dyDescent="0.25">
      <c r="C177" s="65" t="s">
        <v>539</v>
      </c>
      <c r="D177" s="301">
        <f>'CALCUL - MAEC RACES'!B10</f>
        <v>0</v>
      </c>
    </row>
    <row r="178" spans="2:7" x14ac:dyDescent="0.25">
      <c r="C178" s="803" t="s">
        <v>540</v>
      </c>
      <c r="D178" s="809">
        <f>'CALCUL - MAEC RACES'!B11</f>
        <v>200</v>
      </c>
    </row>
    <row r="179" spans="2:7" ht="15.75" thickBot="1" x14ac:dyDescent="0.3">
      <c r="C179" s="834" t="s">
        <v>541</v>
      </c>
      <c r="D179" s="835" t="b">
        <f>'CALCUL - MAEC RACES'!B12</f>
        <v>0</v>
      </c>
    </row>
    <row r="180" spans="2:7" ht="15.75" thickBot="1" x14ac:dyDescent="0.3">
      <c r="C180" s="817" t="s">
        <v>542</v>
      </c>
      <c r="D180" s="821">
        <f>'CALCUL - MAEC RACES'!B14</f>
        <v>0</v>
      </c>
    </row>
    <row r="183" spans="2:7" ht="19.5" thickBot="1" x14ac:dyDescent="0.35">
      <c r="B183" s="852"/>
      <c r="C183" s="853" t="s">
        <v>543</v>
      </c>
      <c r="D183" s="855"/>
      <c r="E183" s="852"/>
      <c r="F183" s="852"/>
      <c r="G183" s="852"/>
    </row>
    <row r="184" spans="2:7" x14ac:dyDescent="0.25">
      <c r="C184" s="470" t="s">
        <v>544</v>
      </c>
      <c r="D184" s="471">
        <f>'CALCUL MAEC-PDA'!B3</f>
        <v>0</v>
      </c>
    </row>
    <row r="185" spans="2:7" x14ac:dyDescent="0.25">
      <c r="C185" s="1100" t="s">
        <v>545</v>
      </c>
      <c r="D185" s="1101" t="str">
        <f>IF(D184&gt;50,"OUI, plafond 50Ha","NON")</f>
        <v>NON</v>
      </c>
    </row>
    <row r="186" spans="2:7" x14ac:dyDescent="0.25">
      <c r="C186" s="803" t="s">
        <v>546</v>
      </c>
      <c r="D186" s="809">
        <v>20</v>
      </c>
    </row>
    <row r="187" spans="2:7" x14ac:dyDescent="0.25">
      <c r="C187" s="834" t="s">
        <v>547</v>
      </c>
      <c r="D187" s="835">
        <f>D186*IF(D184&gt;50,50,D184)</f>
        <v>0</v>
      </c>
    </row>
    <row r="188" spans="2:7" x14ac:dyDescent="0.25">
      <c r="C188" s="65" t="s">
        <v>548</v>
      </c>
      <c r="D188" s="1102">
        <f>IF(D184=0,0,SUM(D12:D21,D23:D26,D29))</f>
        <v>0</v>
      </c>
    </row>
    <row r="189" spans="2:7" x14ac:dyDescent="0.25">
      <c r="C189" s="803" t="s">
        <v>549</v>
      </c>
      <c r="D189" s="809" t="str">
        <f>IF(D188&gt;0,"Oui","Non")</f>
        <v>Non</v>
      </c>
    </row>
    <row r="190" spans="2:7" x14ac:dyDescent="0.25">
      <c r="C190" s="834" t="s">
        <v>550</v>
      </c>
      <c r="D190" s="835">
        <f>'CALCUL MAEC-PDA'!B35</f>
        <v>0</v>
      </c>
    </row>
    <row r="191" spans="2:7" ht="15.75" thickBot="1" x14ac:dyDescent="0.3">
      <c r="C191" s="1126" t="s">
        <v>551</v>
      </c>
      <c r="D191" s="1125">
        <f>D190*0.05</f>
        <v>0</v>
      </c>
    </row>
    <row r="192" spans="2:7" x14ac:dyDescent="0.25">
      <c r="C192" s="1127" t="s">
        <v>552</v>
      </c>
      <c r="D192" s="1128">
        <f>SUM(D191+D187)</f>
        <v>0</v>
      </c>
    </row>
    <row r="193" spans="2:7" ht="30" customHeight="1" x14ac:dyDescent="0.25">
      <c r="C193" s="1512" t="s">
        <v>553</v>
      </c>
      <c r="D193" s="1513"/>
    </row>
    <row r="195" spans="2:7" ht="19.5" thickBot="1" x14ac:dyDescent="0.35">
      <c r="B195" s="852"/>
      <c r="C195" s="853" t="s">
        <v>554</v>
      </c>
      <c r="D195" s="855"/>
      <c r="E195" s="852"/>
      <c r="F195" s="852"/>
      <c r="G195" s="852"/>
    </row>
    <row r="196" spans="2:7" x14ac:dyDescent="0.25">
      <c r="C196" s="470" t="s">
        <v>500</v>
      </c>
      <c r="D196" s="471">
        <f>'CALCUL - ER PP'!B24*$F$196</f>
        <v>0</v>
      </c>
      <c r="F196" s="1241">
        <f>IF('2. VOS DONNEES'!E228="non",0,1)</f>
        <v>1</v>
      </c>
    </row>
    <row r="197" spans="2:7" x14ac:dyDescent="0.25">
      <c r="C197" s="65" t="s">
        <v>501</v>
      </c>
      <c r="D197" s="472">
        <f>'CALCUL - ER PP'!B23</f>
        <v>0</v>
      </c>
    </row>
    <row r="198" spans="2:7" x14ac:dyDescent="0.25">
      <c r="C198" s="65" t="s">
        <v>502</v>
      </c>
      <c r="D198" s="506">
        <f>'CALCUL - ER PP'!B46*F196</f>
        <v>0</v>
      </c>
    </row>
    <row r="199" spans="2:7" x14ac:dyDescent="0.25">
      <c r="C199" s="65" t="s">
        <v>488</v>
      </c>
      <c r="D199" s="507">
        <f>'CALCUL - ER PP'!B52</f>
        <v>99999999</v>
      </c>
    </row>
    <row r="200" spans="2:7" x14ac:dyDescent="0.25">
      <c r="C200" s="838" t="s">
        <v>503</v>
      </c>
      <c r="D200" s="839">
        <f>IF('CALCUL - ER PP'!B53="TABLEAU A",'CALCUL - ER PP'!B61,'CALCUL - ER PP'!B64)</f>
        <v>0</v>
      </c>
    </row>
    <row r="201" spans="2:7" x14ac:dyDescent="0.25">
      <c r="C201" s="803" t="s">
        <v>555</v>
      </c>
      <c r="D201" s="809">
        <f>'CALCUL - ER PP'!B59</f>
        <v>40</v>
      </c>
    </row>
    <row r="202" spans="2:7" ht="24" customHeight="1" x14ac:dyDescent="0.25">
      <c r="C202" s="803" t="s">
        <v>556</v>
      </c>
      <c r="D202" s="807">
        <f>'CALCUL - ER PP'!B73</f>
        <v>0</v>
      </c>
    </row>
    <row r="203" spans="2:7" x14ac:dyDescent="0.25">
      <c r="C203" s="834" t="s">
        <v>557</v>
      </c>
      <c r="D203" s="835">
        <f>'CALCUL - ER PP'!B67</f>
        <v>0</v>
      </c>
      <c r="E203" s="314"/>
    </row>
    <row r="204" spans="2:7" ht="15.75" thickBot="1" x14ac:dyDescent="0.3">
      <c r="C204" s="836" t="s">
        <v>558</v>
      </c>
      <c r="D204" s="837">
        <f>'CALCUL - ER PP'!B74</f>
        <v>0</v>
      </c>
    </row>
    <row r="205" spans="2:7" ht="15.75" thickBot="1" x14ac:dyDescent="0.3">
      <c r="C205" s="817" t="s">
        <v>465</v>
      </c>
      <c r="D205" s="821">
        <f>IF('CALCUL - ABR-AR-AJA'!$D$2="Calcul OK",D204+D203,0)</f>
        <v>0</v>
      </c>
    </row>
    <row r="208" spans="2:7" ht="19.5" thickBot="1" x14ac:dyDescent="0.35">
      <c r="B208" s="852"/>
      <c r="C208" s="853" t="s">
        <v>559</v>
      </c>
      <c r="D208" s="852"/>
      <c r="E208" s="852"/>
      <c r="F208" s="852"/>
      <c r="G208" s="852"/>
    </row>
    <row r="209" spans="2:7" x14ac:dyDescent="0.25">
      <c r="C209" s="470" t="s">
        <v>560</v>
      </c>
      <c r="D209" s="471">
        <f>SUM('CALCUL - ER CFE'!B7:B11)</f>
        <v>0</v>
      </c>
    </row>
    <row r="210" spans="2:7" x14ac:dyDescent="0.25">
      <c r="C210" s="65" t="s">
        <v>561</v>
      </c>
      <c r="D210" s="472">
        <f>SUM('CALCUL - ER CFE'!B12:B21)</f>
        <v>0</v>
      </c>
    </row>
    <row r="211" spans="2:7" x14ac:dyDescent="0.25">
      <c r="C211" s="65" t="s">
        <v>562</v>
      </c>
      <c r="D211" s="472">
        <f>SUM('CALCUL - ER CFE'!B23:B28)</f>
        <v>0</v>
      </c>
    </row>
    <row r="212" spans="2:7" x14ac:dyDescent="0.25">
      <c r="C212" s="65" t="s">
        <v>563</v>
      </c>
      <c r="D212" s="472">
        <f>SUM('CALCUL - ER CFE'!B29)</f>
        <v>0</v>
      </c>
    </row>
    <row r="213" spans="2:7" x14ac:dyDescent="0.25">
      <c r="C213" s="65" t="s">
        <v>564</v>
      </c>
      <c r="D213" s="472">
        <f>'CALCUL - ER CFE'!B30+'CALCUL - ER CFE'!B31</f>
        <v>0</v>
      </c>
    </row>
    <row r="214" spans="2:7" x14ac:dyDescent="0.25">
      <c r="C214" s="803" t="s">
        <v>468</v>
      </c>
      <c r="D214" s="810">
        <f>'CALCUL - ER CFE'!B39</f>
        <v>380</v>
      </c>
    </row>
    <row r="215" spans="2:7" ht="15.75" thickBot="1" x14ac:dyDescent="0.3">
      <c r="C215" s="833" t="s">
        <v>565</v>
      </c>
      <c r="D215" s="830">
        <f>IF(SUM($D$209:$D$213)&gt;1,SUM($D$209:$D$213),0)</f>
        <v>0</v>
      </c>
    </row>
    <row r="216" spans="2:7" ht="15.75" thickBot="1" x14ac:dyDescent="0.3">
      <c r="C216" s="817" t="s">
        <v>469</v>
      </c>
      <c r="D216" s="821">
        <f>IF('CALCUL - ABR-AR-AJA'!$D$2="Calcul OK",D215*380,0)</f>
        <v>0</v>
      </c>
    </row>
    <row r="217" spans="2:7" ht="24" customHeight="1" x14ac:dyDescent="0.25"/>
    <row r="218" spans="2:7" ht="18.75" x14ac:dyDescent="0.3">
      <c r="B218" s="852"/>
      <c r="C218" s="853" t="s">
        <v>566</v>
      </c>
      <c r="D218" s="852"/>
      <c r="E218" s="852"/>
      <c r="F218" s="852"/>
      <c r="G218" s="852"/>
    </row>
    <row r="219" spans="2:7" x14ac:dyDescent="0.25">
      <c r="C219" s="831" t="s">
        <v>567</v>
      </c>
      <c r="D219" s="832">
        <f>'CALCUL - ER CLS'!B6</f>
        <v>0</v>
      </c>
    </row>
    <row r="220" spans="2:7" x14ac:dyDescent="0.25">
      <c r="C220" s="674" t="s">
        <v>568</v>
      </c>
      <c r="D220" s="675">
        <f>'2. VOS DONNEES'!E246</f>
        <v>0</v>
      </c>
    </row>
    <row r="221" spans="2:7" x14ac:dyDescent="0.25">
      <c r="C221" s="674" t="s">
        <v>569</v>
      </c>
      <c r="D221" s="675">
        <f>D219-D220</f>
        <v>0</v>
      </c>
    </row>
    <row r="222" spans="2:7" x14ac:dyDescent="0.25">
      <c r="C222" s="674" t="s">
        <v>570</v>
      </c>
      <c r="D222" s="675">
        <f>'CALCUL - ER CLS'!B10</f>
        <v>0</v>
      </c>
    </row>
    <row r="223" spans="2:7" ht="15.75" customHeight="1" x14ac:dyDescent="0.25">
      <c r="C223" s="674" t="s">
        <v>571</v>
      </c>
      <c r="D223" s="676" t="str">
        <f>IFERROR(D222/D219,"-")</f>
        <v>-</v>
      </c>
    </row>
    <row r="224" spans="2:7" x14ac:dyDescent="0.25">
      <c r="C224" s="674" t="s">
        <v>572</v>
      </c>
      <c r="D224" s="677">
        <f>'CALCUL - ER CLS'!B15</f>
        <v>0</v>
      </c>
    </row>
    <row r="225" spans="2:7" x14ac:dyDescent="0.25">
      <c r="C225" s="831" t="s">
        <v>573</v>
      </c>
      <c r="D225" s="832" t="str">
        <f>'CALCUL - ER CLS'!B22</f>
        <v>supérieur</v>
      </c>
    </row>
    <row r="226" spans="2:7" x14ac:dyDescent="0.25">
      <c r="C226" s="1093" t="s">
        <v>574</v>
      </c>
      <c r="D226" s="1094"/>
    </row>
    <row r="227" spans="2:7" x14ac:dyDescent="0.25">
      <c r="C227" s="678" t="s">
        <v>575</v>
      </c>
      <c r="D227" s="679">
        <f>'CALCUL - ER CLS'!B18</f>
        <v>0</v>
      </c>
    </row>
    <row r="228" spans="2:7" x14ac:dyDescent="0.25">
      <c r="C228" s="678" t="s">
        <v>576</v>
      </c>
      <c r="D228" s="679">
        <f>'CALCUL - ER CLS'!B19</f>
        <v>0</v>
      </c>
    </row>
    <row r="229" spans="2:7" x14ac:dyDescent="0.25">
      <c r="C229" s="1249" t="s">
        <v>577</v>
      </c>
      <c r="D229" s="1250">
        <f>'CALCUL - ER CLS'!B20</f>
        <v>0</v>
      </c>
    </row>
    <row r="230" spans="2:7" ht="15.75" thickBot="1" x14ac:dyDescent="0.3">
      <c r="C230" s="1248" t="s">
        <v>1445</v>
      </c>
      <c r="D230" s="1247">
        <f>'CALCUL - ER CLS'!B4</f>
        <v>0</v>
      </c>
    </row>
    <row r="231" spans="2:7" x14ac:dyDescent="0.25">
      <c r="C231" s="811" t="s">
        <v>468</v>
      </c>
      <c r="D231" s="812">
        <f>'CALCUL - ER CLS'!B23</f>
        <v>45</v>
      </c>
      <c r="E231" s="239"/>
    </row>
    <row r="232" spans="2:7" ht="15.75" thickBot="1" x14ac:dyDescent="0.3">
      <c r="C232" s="823" t="s">
        <v>469</v>
      </c>
      <c r="D232" s="824">
        <f>IF('CALCUL - ABR-AR-AJA'!$D$2="Calcul OK",'CALCUL - ER CLS'!B24,0)</f>
        <v>0</v>
      </c>
    </row>
    <row r="234" spans="2:7" ht="18.75" x14ac:dyDescent="0.3">
      <c r="B234" s="852"/>
      <c r="C234" s="853" t="s">
        <v>578</v>
      </c>
      <c r="D234" s="852"/>
      <c r="E234" s="852"/>
      <c r="F234" s="852"/>
      <c r="G234" s="852"/>
    </row>
    <row r="235" spans="2:7" x14ac:dyDescent="0.25">
      <c r="C235" s="1092" t="s">
        <v>579</v>
      </c>
      <c r="D235" s="67" t="str">
        <f>'2. VOS DONNEES'!E284</f>
        <v>NON</v>
      </c>
    </row>
    <row r="236" spans="2:7" x14ac:dyDescent="0.25">
      <c r="C236" s="1092" t="s">
        <v>580</v>
      </c>
      <c r="D236" s="67" t="str">
        <f>IFERROR('CALCUL - ER ME'!B4,"-")</f>
        <v>-</v>
      </c>
    </row>
    <row r="237" spans="2:7" x14ac:dyDescent="0.25">
      <c r="C237" s="1251" t="s">
        <v>1446</v>
      </c>
      <c r="D237" s="33">
        <f>'CALCUL - ER ME'!B75</f>
        <v>0</v>
      </c>
    </row>
    <row r="238" spans="2:7" ht="15.75" thickBot="1" x14ac:dyDescent="0.3">
      <c r="C238" s="101"/>
    </row>
    <row r="239" spans="2:7" x14ac:dyDescent="0.25">
      <c r="C239" s="474" t="s">
        <v>581</v>
      </c>
      <c r="D239" s="471">
        <f>'CALCUL - ER ME'!B61</f>
        <v>0</v>
      </c>
    </row>
    <row r="240" spans="2:7" x14ac:dyDescent="0.25">
      <c r="C240" s="475" t="s">
        <v>582</v>
      </c>
      <c r="D240" s="859" t="str">
        <f>IFERROR('CALCUL - ER ME'!B67,"-")</f>
        <v>-</v>
      </c>
    </row>
    <row r="241" spans="2:7" x14ac:dyDescent="0.25">
      <c r="C241" s="475" t="s">
        <v>583</v>
      </c>
      <c r="D241" s="478" t="str">
        <f>IFERROR('CALCUL - ER ME'!B69,"-")</f>
        <v>-</v>
      </c>
    </row>
    <row r="242" spans="2:7" x14ac:dyDescent="0.25">
      <c r="C242" s="813" t="s">
        <v>584</v>
      </c>
      <c r="D242" s="814">
        <f>'CALCUL - ER ME'!B72</f>
        <v>450</v>
      </c>
    </row>
    <row r="243" spans="2:7" ht="15.75" thickBot="1" x14ac:dyDescent="0.3">
      <c r="C243" s="829" t="s">
        <v>585</v>
      </c>
      <c r="D243" s="830">
        <f>IFERROR('CALCUL - ER ME'!B71,"-")</f>
        <v>0</v>
      </c>
    </row>
    <row r="244" spans="2:7" ht="15.75" thickBot="1" x14ac:dyDescent="0.3">
      <c r="C244" s="825" t="s">
        <v>586</v>
      </c>
      <c r="D244" s="826">
        <f>IF('CALCUL - ABR-AR-AJA'!$D$2="Calcul OK",IF(D236="NON ELIGIBLE ER MAILLAGE",0,'CALCUL - ER ME'!B76),0)</f>
        <v>0</v>
      </c>
    </row>
    <row r="246" spans="2:7" ht="18.75" x14ac:dyDescent="0.3">
      <c r="B246" s="852"/>
      <c r="C246" s="853" t="s">
        <v>587</v>
      </c>
      <c r="D246" s="852"/>
      <c r="E246" s="852"/>
      <c r="F246" s="852"/>
      <c r="G246" s="852"/>
    </row>
    <row r="247" spans="2:7" ht="15.75" thickBot="1" x14ac:dyDescent="0.3">
      <c r="C247" s="58"/>
      <c r="D247" s="58"/>
    </row>
    <row r="248" spans="2:7" x14ac:dyDescent="0.25">
      <c r="C248" s="1122" t="s">
        <v>588</v>
      </c>
      <c r="D248" s="1041" t="str">
        <f>'CALCUL NATURA 2000 - AGRICOLE'!D3</f>
        <v>NON</v>
      </c>
      <c r="E248" s="480"/>
    </row>
    <row r="249" spans="2:7" x14ac:dyDescent="0.25">
      <c r="B249" s="301"/>
      <c r="C249" s="1040" t="s">
        <v>589</v>
      </c>
      <c r="D249" s="839">
        <f>'CALCUL NATURA 2000 - AGRICOLE'!D12</f>
        <v>0</v>
      </c>
    </row>
    <row r="250" spans="2:7" x14ac:dyDescent="0.25">
      <c r="B250" s="301"/>
      <c r="C250" s="1043" t="s">
        <v>484</v>
      </c>
      <c r="D250" s="814">
        <v>460</v>
      </c>
    </row>
    <row r="251" spans="2:7" x14ac:dyDescent="0.25">
      <c r="B251" s="301"/>
      <c r="C251" s="1044" t="s">
        <v>590</v>
      </c>
      <c r="D251" s="1045">
        <f>'CALCUL NATURA 2000 - AGRICOLE'!D14</f>
        <v>0</v>
      </c>
    </row>
    <row r="252" spans="2:7" x14ac:dyDescent="0.25">
      <c r="B252" s="301"/>
      <c r="C252" s="1040" t="s">
        <v>591</v>
      </c>
      <c r="D252" s="839">
        <f>'CALCUL NATURA 2000 - AGRICOLE'!D16</f>
        <v>0</v>
      </c>
    </row>
    <row r="253" spans="2:7" x14ac:dyDescent="0.25">
      <c r="B253" s="301"/>
      <c r="C253" s="1043" t="s">
        <v>484</v>
      </c>
      <c r="D253" s="814">
        <v>1100</v>
      </c>
    </row>
    <row r="254" spans="2:7" x14ac:dyDescent="0.25">
      <c r="B254" s="301"/>
      <c r="C254" s="1044" t="s">
        <v>592</v>
      </c>
      <c r="D254" s="1046">
        <f>'CALCUL NATURA 2000 - AGRICOLE'!D18</f>
        <v>0</v>
      </c>
    </row>
    <row r="255" spans="2:7" x14ac:dyDescent="0.25">
      <c r="B255" s="301"/>
      <c r="C255" s="67" t="s">
        <v>593</v>
      </c>
      <c r="D255" s="1085" t="str">
        <f>IF(D254+D252&gt;100,"OUI","NON")</f>
        <v>NON</v>
      </c>
      <c r="E255" s="480"/>
    </row>
    <row r="256" spans="2:7" ht="15.75" thickBot="1" x14ac:dyDescent="0.3">
      <c r="C256" s="1039" t="s">
        <v>594</v>
      </c>
      <c r="D256" s="1083">
        <f>IF(D248="NON",0,('CALCUL NATURA 2000 - AGRICOLE'!D20))</f>
        <v>0</v>
      </c>
    </row>
    <row r="258" spans="2:7" ht="18.75" x14ac:dyDescent="0.3">
      <c r="B258" s="852"/>
      <c r="C258" s="853" t="s">
        <v>595</v>
      </c>
      <c r="D258" s="852"/>
      <c r="E258" s="852"/>
      <c r="F258" s="852"/>
      <c r="G258" s="852"/>
    </row>
    <row r="259" spans="2:7" ht="15.75" thickBot="1" x14ac:dyDescent="0.3"/>
    <row r="260" spans="2:7" x14ac:dyDescent="0.25">
      <c r="B260" s="301"/>
      <c r="C260" s="1123" t="s">
        <v>596</v>
      </c>
      <c r="D260" s="1041" t="str">
        <f>'CALCUL IZCS et IZCN'!C4</f>
        <v>NON</v>
      </c>
    </row>
    <row r="261" spans="2:7" x14ac:dyDescent="0.25">
      <c r="B261" s="301"/>
      <c r="C261" s="1040" t="s">
        <v>597</v>
      </c>
      <c r="D261" s="839">
        <f>'CALCUL IZCS et IZCN'!C7</f>
        <v>0</v>
      </c>
    </row>
    <row r="262" spans="2:7" x14ac:dyDescent="0.25">
      <c r="B262" s="301"/>
      <c r="C262" t="s">
        <v>598</v>
      </c>
      <c r="D262" s="1084">
        <f>'CALCUL IZCS et IZCN'!C13</f>
        <v>0</v>
      </c>
      <c r="E262" s="480"/>
    </row>
    <row r="263" spans="2:7" x14ac:dyDescent="0.25">
      <c r="B263" s="301"/>
      <c r="C263" s="1043" t="s">
        <v>599</v>
      </c>
      <c r="D263" s="814">
        <v>50</v>
      </c>
    </row>
    <row r="264" spans="2:7" x14ac:dyDescent="0.25">
      <c r="B264" s="301"/>
      <c r="C264" s="1044" t="s">
        <v>600</v>
      </c>
      <c r="D264" s="1045">
        <f>'CALCUL IZCS et IZCN'!C24</f>
        <v>0</v>
      </c>
    </row>
    <row r="265" spans="2:7" x14ac:dyDescent="0.25">
      <c r="B265" s="301"/>
      <c r="C265" t="s">
        <v>601</v>
      </c>
      <c r="D265" s="1084">
        <f>'CALCUL IZCS et IZCN'!C25</f>
        <v>0</v>
      </c>
      <c r="E265" s="480"/>
    </row>
    <row r="266" spans="2:7" x14ac:dyDescent="0.25">
      <c r="B266" s="301"/>
      <c r="C266" s="1043" t="s">
        <v>602</v>
      </c>
      <c r="D266" s="814">
        <f>'CALCUL IZCS et IZCN'!C26</f>
        <v>30</v>
      </c>
    </row>
    <row r="267" spans="2:7" x14ac:dyDescent="0.25">
      <c r="B267" s="301"/>
      <c r="C267" s="1044" t="s">
        <v>603</v>
      </c>
      <c r="D267" s="1086">
        <f>'CALCUL IZCS et IZCN'!C27</f>
        <v>0</v>
      </c>
    </row>
    <row r="268" spans="2:7" x14ac:dyDescent="0.25">
      <c r="B268" s="1067"/>
      <c r="C268" s="67" t="s">
        <v>593</v>
      </c>
      <c r="D268" s="1087" t="str">
        <f>'CALCUL IZCS et IZCN'!C30</f>
        <v>PLAFOND ADMINISTRATIF</v>
      </c>
    </row>
    <row r="269" spans="2:7" ht="15.75" thickBot="1" x14ac:dyDescent="0.3">
      <c r="C269" s="1039" t="s">
        <v>604</v>
      </c>
      <c r="D269" s="1083">
        <f>'CALCUL IZCS et IZCN'!C31</f>
        <v>0</v>
      </c>
    </row>
    <row r="271" spans="2:7" ht="18.75" x14ac:dyDescent="0.3">
      <c r="B271" s="852"/>
      <c r="C271" s="853" t="s">
        <v>605</v>
      </c>
      <c r="D271" s="852"/>
      <c r="E271" s="852"/>
      <c r="F271" s="852"/>
      <c r="G271" s="852"/>
    </row>
    <row r="273" spans="2:8" ht="15.75" thickBot="1" x14ac:dyDescent="0.3">
      <c r="C273" s="58"/>
    </row>
    <row r="274" spans="2:8" x14ac:dyDescent="0.25">
      <c r="B274" s="301"/>
      <c r="C274" s="64" t="s">
        <v>606</v>
      </c>
      <c r="D274" s="433" t="str">
        <f>BIO!D256</f>
        <v>Pas éligible</v>
      </c>
    </row>
    <row r="275" spans="2:8" x14ac:dyDescent="0.25">
      <c r="B275" s="301"/>
      <c r="C275" s="1040" t="s">
        <v>607</v>
      </c>
      <c r="D275" s="839">
        <f ca="1">IFERROR(D276+D279+D281+D283+D285,0)</f>
        <v>-5</v>
      </c>
    </row>
    <row r="276" spans="2:8" x14ac:dyDescent="0.25">
      <c r="B276" s="301"/>
      <c r="C276" s="67" t="s">
        <v>608</v>
      </c>
      <c r="D276" s="131">
        <f ca="1">IFERROR(BIO!D257,0)</f>
        <v>0</v>
      </c>
    </row>
    <row r="277" spans="2:8" x14ac:dyDescent="0.25">
      <c r="B277" s="301"/>
      <c r="C277" s="1184" t="s">
        <v>609</v>
      </c>
      <c r="D277" s="1204" t="str">
        <f ca="1">IFERROR(BIO!D258,0)</f>
        <v>PRORATA SUR GR1</v>
      </c>
    </row>
    <row r="278" spans="2:8" x14ac:dyDescent="0.25">
      <c r="B278" s="301"/>
      <c r="C278" s="1044" t="s">
        <v>610</v>
      </c>
      <c r="D278" s="1045">
        <f ca="1">IFERROR(BIO!D259,0)</f>
        <v>0</v>
      </c>
    </row>
    <row r="279" spans="2:8" x14ac:dyDescent="0.25">
      <c r="B279" s="301"/>
      <c r="C279" s="67" t="s">
        <v>611</v>
      </c>
      <c r="D279" s="131">
        <f ca="1">BIO!D260</f>
        <v>0</v>
      </c>
    </row>
    <row r="280" spans="2:8" x14ac:dyDescent="0.25">
      <c r="B280" s="301"/>
      <c r="C280" s="1044" t="s">
        <v>612</v>
      </c>
      <c r="D280" s="1045">
        <f ca="1">BIO!D261</f>
        <v>0</v>
      </c>
    </row>
    <row r="281" spans="2:8" x14ac:dyDescent="0.25">
      <c r="B281" s="301"/>
      <c r="C281" s="67" t="s">
        <v>613</v>
      </c>
      <c r="D281" s="131">
        <f ca="1">BIO!D262</f>
        <v>-5</v>
      </c>
    </row>
    <row r="282" spans="2:8" x14ac:dyDescent="0.25">
      <c r="B282" s="301"/>
      <c r="C282" s="1044" t="s">
        <v>614</v>
      </c>
      <c r="D282" s="1045">
        <f ca="1">BIO!D263</f>
        <v>750</v>
      </c>
    </row>
    <row r="283" spans="2:8" x14ac:dyDescent="0.25">
      <c r="B283" s="301"/>
      <c r="C283" s="67" t="s">
        <v>615</v>
      </c>
      <c r="D283" s="131">
        <f ca="1">BIO!D264</f>
        <v>0</v>
      </c>
      <c r="F283" s="54"/>
      <c r="G283" s="54"/>
    </row>
    <row r="284" spans="2:8" x14ac:dyDescent="0.25">
      <c r="B284" s="301"/>
      <c r="C284" s="1044" t="s">
        <v>616</v>
      </c>
      <c r="D284" s="1045">
        <f ca="1">IFERROR(BIO!D265,0)</f>
        <v>0</v>
      </c>
      <c r="F284" s="54"/>
      <c r="G284" s="54"/>
    </row>
    <row r="285" spans="2:8" x14ac:dyDescent="0.25">
      <c r="B285" s="301"/>
      <c r="C285" s="67" t="s">
        <v>617</v>
      </c>
      <c r="D285" s="131">
        <f ca="1">BIO!D266</f>
        <v>0</v>
      </c>
      <c r="F285" s="54"/>
      <c r="G285" s="54"/>
    </row>
    <row r="286" spans="2:8" x14ac:dyDescent="0.25">
      <c r="B286" s="301"/>
      <c r="C286" s="67" t="str">
        <f>BIO!C267</f>
        <v>CONDITION SURFACE GROUPE 5 (SURFACE &lt; ou = 3HA)</v>
      </c>
      <c r="D286" s="478" t="str">
        <f ca="1">IF(D275=0,0,BIO!D267)</f>
        <v>OK</v>
      </c>
      <c r="F286" s="54">
        <f ca="1">IF(D286="OK",1,0)</f>
        <v>1</v>
      </c>
      <c r="G286" s="54"/>
    </row>
    <row r="287" spans="2:8" x14ac:dyDescent="0.25">
      <c r="B287" s="301"/>
      <c r="C287" s="67" t="str">
        <f>BIO!C268</f>
        <v>CONDITION SAU &lt; ou = 10HA</v>
      </c>
      <c r="D287" s="478" t="str">
        <f ca="1">IFERROR(BIO!D268,0)</f>
        <v>OK</v>
      </c>
      <c r="E287" s="1216"/>
      <c r="F287" s="54">
        <f ca="1">IF(D287="ok",1,0)</f>
        <v>1</v>
      </c>
      <c r="G287" s="54"/>
      <c r="H287" s="1216"/>
    </row>
    <row r="288" spans="2:8" ht="37.5" customHeight="1" x14ac:dyDescent="0.25">
      <c r="B288" s="301"/>
      <c r="C288" s="67" t="s">
        <v>618</v>
      </c>
      <c r="D288" s="1212" t="str">
        <f ca="1">IFERROR(BIO!D269,"Pas de données")</f>
        <v>Vous pouvez bénéficier de l'aide</v>
      </c>
      <c r="E288" s="1216"/>
      <c r="F288" s="54">
        <f ca="1">F286*F287</f>
        <v>1</v>
      </c>
      <c r="G288" s="54"/>
      <c r="H288" s="1216"/>
    </row>
    <row r="289" spans="2:8" x14ac:dyDescent="0.25">
      <c r="B289" s="301"/>
      <c r="C289" s="1044" t="s">
        <v>619</v>
      </c>
      <c r="D289" s="1045">
        <f ca="1">IFERROR(BIO!D270,0)</f>
        <v>0</v>
      </c>
      <c r="E289" s="1216"/>
      <c r="F289" s="54"/>
      <c r="G289" s="54"/>
      <c r="H289" s="1216"/>
    </row>
    <row r="290" spans="2:8" ht="15.75" thickBot="1" x14ac:dyDescent="0.3">
      <c r="B290" s="301"/>
      <c r="C290" s="1182" t="s">
        <v>620</v>
      </c>
      <c r="D290" s="1083">
        <f ca="1">IF(D274="pas éligible",0*(D289+D282+D280+D278),(D289+D282+D280+D278))</f>
        <v>0</v>
      </c>
      <c r="E290" s="1216"/>
      <c r="F290" s="54"/>
      <c r="G290" s="54"/>
      <c r="H290" s="1216"/>
    </row>
    <row r="291" spans="2:8" x14ac:dyDescent="0.25">
      <c r="F291" s="54"/>
      <c r="G291" s="54"/>
    </row>
    <row r="292" spans="2:8" ht="18.75" x14ac:dyDescent="0.3">
      <c r="B292" s="852"/>
      <c r="C292" s="853"/>
      <c r="D292" s="852"/>
      <c r="E292" s="852"/>
      <c r="F292" s="852"/>
      <c r="G292" s="852"/>
    </row>
  </sheetData>
  <mergeCells count="6">
    <mergeCell ref="C193:D193"/>
    <mergeCell ref="C1:E1"/>
    <mergeCell ref="C8:D8"/>
    <mergeCell ref="C41:E41"/>
    <mergeCell ref="C42:E42"/>
    <mergeCell ref="C40:E40"/>
  </mergeCells>
  <conditionalFormatting sqref="D288">
    <cfRule type="expression" dxfId="18" priority="1">
      <formula>($F$288&gt;=0)</formula>
    </cfRule>
    <cfRule type="expression" dxfId="17" priority="2">
      <formula>($F$288&gt;=1)</formula>
    </cfRule>
  </conditionalFormatting>
  <pageMargins left="0.7" right="0.7" top="0.75" bottom="0.75" header="0.3" footer="0.3"/>
  <pageSetup paperSize="9" scale="63" orientation="landscape" r:id="rId1"/>
  <headerFooter>
    <oddHeader>&amp;LSIMULATEUR AIDES PAC&amp;CRESULTATS &amp;RATTENTION RESULTATS FOURNIS A TITRE INDICATIF</oddHeader>
    <oddFooter>&amp;R&amp;P</oddFooter>
  </headerFooter>
  <rowBreaks count="9" manualBreakCount="9">
    <brk id="30" max="7" man="1"/>
    <brk id="72" max="7" man="1"/>
    <brk id="99" max="7" man="1"/>
    <brk id="122" max="7" man="1"/>
    <brk id="150" max="7" man="1"/>
    <brk id="193" max="7" man="1"/>
    <brk id="217" max="7" man="1"/>
    <brk id="245" max="7" man="1"/>
    <brk id="269" max="7" man="1"/>
  </rowBreaks>
  <ignoredErrors>
    <ignoredError sqref="D26:E26" evalError="1"/>
  </ignoredErrors>
  <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7A53C7E-C88F-47CA-9A13-5AECE9969891}">
  <dimension ref="A2:AD272"/>
  <sheetViews>
    <sheetView topLeftCell="B250" zoomScale="120" zoomScaleNormal="120" workbookViewId="0">
      <selection activeCell="D260" sqref="D260"/>
    </sheetView>
  </sheetViews>
  <sheetFormatPr baseColWidth="10" defaultColWidth="11.42578125" defaultRowHeight="15" x14ac:dyDescent="0.25"/>
  <cols>
    <col min="2" max="2" width="10.42578125" customWidth="1"/>
    <col min="3" max="3" width="85.140625" bestFit="1" customWidth="1"/>
    <col min="4" max="4" width="41.85546875" customWidth="1"/>
    <col min="5" max="5" width="21.28515625" bestFit="1" customWidth="1"/>
    <col min="6" max="6" width="12.7109375" bestFit="1" customWidth="1"/>
    <col min="7" max="8" width="39" customWidth="1"/>
    <col min="13" max="13" width="21.7109375" bestFit="1" customWidth="1"/>
  </cols>
  <sheetData>
    <row r="2" spans="1:18" s="1210" customFormat="1" ht="45.75" customHeight="1" x14ac:dyDescent="0.25">
      <c r="C2" s="1210" t="s">
        <v>621</v>
      </c>
    </row>
    <row r="4" spans="1:18" ht="28.5" customHeight="1" x14ac:dyDescent="0.25">
      <c r="B4" s="1522" t="s">
        <v>397</v>
      </c>
      <c r="C4" s="1522"/>
      <c r="D4" s="1523"/>
    </row>
    <row r="5" spans="1:18" ht="33" customHeight="1" x14ac:dyDescent="0.25">
      <c r="A5" s="347"/>
      <c r="B5" s="1133"/>
      <c r="C5" s="637" t="s">
        <v>398</v>
      </c>
      <c r="D5" s="128" t="str">
        <f>'2. VOS DONNEES'!E310</f>
        <v>NON</v>
      </c>
      <c r="G5" s="1484" t="s">
        <v>399</v>
      </c>
      <c r="H5" s="1484"/>
      <c r="I5" s="1484"/>
      <c r="J5" s="1484"/>
      <c r="K5" s="1484"/>
      <c r="L5" s="1484"/>
      <c r="M5" s="1484"/>
      <c r="N5" s="1484"/>
      <c r="O5" s="1484"/>
      <c r="P5" s="1484"/>
      <c r="Q5" s="1484"/>
      <c r="R5" s="1484"/>
    </row>
    <row r="6" spans="1:18" ht="25.5" customHeight="1" x14ac:dyDescent="0.25">
      <c r="B6" s="1133"/>
      <c r="C6" s="637" t="s">
        <v>622</v>
      </c>
      <c r="D6" s="128" t="str">
        <f>'2. VOS DONNEES'!E311</f>
        <v>NON</v>
      </c>
      <c r="G6" s="1489" t="s">
        <v>401</v>
      </c>
      <c r="H6" s="1489"/>
      <c r="I6" s="1489"/>
      <c r="J6" s="1489"/>
      <c r="K6" s="1489"/>
      <c r="L6" s="1489"/>
      <c r="M6" s="1489"/>
      <c r="N6" s="1489"/>
      <c r="O6" s="1489"/>
      <c r="P6" s="1489"/>
      <c r="Q6" s="1489"/>
      <c r="R6" s="1489"/>
    </row>
    <row r="7" spans="1:18" ht="41.25" customHeight="1" x14ac:dyDescent="0.25">
      <c r="B7" s="1133"/>
      <c r="C7" s="637" t="s">
        <v>623</v>
      </c>
      <c r="D7" s="128" t="str">
        <f>'2. VOS DONNEES'!E312</f>
        <v>NON</v>
      </c>
      <c r="G7" s="1484" t="s">
        <v>624</v>
      </c>
      <c r="H7" s="1484"/>
      <c r="I7" s="1484"/>
      <c r="J7" s="1484"/>
      <c r="K7" s="1484"/>
      <c r="L7" s="1484"/>
      <c r="M7" s="1484"/>
      <c r="N7" s="1484"/>
      <c r="O7" s="1484"/>
      <c r="P7" s="1484"/>
      <c r="Q7" s="1484"/>
      <c r="R7" s="1484"/>
    </row>
    <row r="8" spans="1:18" ht="35.25" customHeight="1" x14ac:dyDescent="0.25">
      <c r="B8" s="1133"/>
      <c r="C8" s="1134" t="s">
        <v>404</v>
      </c>
      <c r="D8" s="128" t="str">
        <f>'2. VOS DONNEES'!E313</f>
        <v>NON</v>
      </c>
      <c r="G8" s="1489" t="s">
        <v>625</v>
      </c>
      <c r="H8" s="1489"/>
      <c r="I8" s="1489"/>
      <c r="J8" s="1489"/>
      <c r="K8" s="1489"/>
      <c r="L8" s="1489"/>
      <c r="M8" s="1489"/>
      <c r="N8" s="1489"/>
      <c r="O8" s="1489"/>
      <c r="P8" s="1489"/>
      <c r="Q8" s="1489"/>
      <c r="R8" s="1489"/>
    </row>
    <row r="9" spans="1:18" ht="35.25" customHeight="1" x14ac:dyDescent="0.25">
      <c r="B9" s="1133"/>
      <c r="C9" s="1135" t="s">
        <v>626</v>
      </c>
      <c r="D9" s="128" t="str">
        <f>'2. VOS DONNEES'!E314</f>
        <v>NON</v>
      </c>
      <c r="G9" s="1484" t="s">
        <v>627</v>
      </c>
      <c r="H9" s="1484"/>
      <c r="I9" s="1484"/>
      <c r="J9" s="1484"/>
      <c r="K9" s="1484"/>
      <c r="L9" s="1484"/>
      <c r="M9" s="1484"/>
      <c r="N9" s="1484"/>
      <c r="O9" s="1484"/>
      <c r="P9" s="1484"/>
      <c r="Q9" s="1484"/>
      <c r="R9" s="1484"/>
    </row>
    <row r="10" spans="1:18" ht="35.25" customHeight="1" x14ac:dyDescent="0.25">
      <c r="B10" s="1133"/>
      <c r="C10" s="1135" t="s">
        <v>408</v>
      </c>
      <c r="D10" s="1144"/>
      <c r="E10" s="1145"/>
      <c r="G10" s="1143"/>
      <c r="H10" s="1143"/>
      <c r="I10" s="1143"/>
      <c r="J10" s="1143"/>
      <c r="K10" s="1143"/>
      <c r="L10" s="1143"/>
      <c r="M10" s="1143"/>
      <c r="N10" s="1143"/>
      <c r="O10" s="1143"/>
      <c r="P10" s="1143"/>
      <c r="Q10" s="1143"/>
    </row>
    <row r="11" spans="1:18" x14ac:dyDescent="0.25">
      <c r="C11" s="1136" t="s">
        <v>409</v>
      </c>
      <c r="D11">
        <f>IF(D30=0,0,1)</f>
        <v>0</v>
      </c>
      <c r="E11" t="s">
        <v>410</v>
      </c>
      <c r="F11" t="s">
        <v>411</v>
      </c>
      <c r="J11" t="s">
        <v>628</v>
      </c>
    </row>
    <row r="12" spans="1:18" x14ac:dyDescent="0.25">
      <c r="C12" s="1137" t="s">
        <v>412</v>
      </c>
      <c r="D12" s="1146">
        <f ca="1">D239*$D$11</f>
        <v>0</v>
      </c>
      <c r="E12" s="1147">
        <f>'2. VOS DONNEES'!F317</f>
        <v>0</v>
      </c>
      <c r="F12" s="523">
        <f ca="1">F239</f>
        <v>0</v>
      </c>
      <c r="J12">
        <f ca="1">D78</f>
        <v>0</v>
      </c>
      <c r="K12" t="s">
        <v>629</v>
      </c>
    </row>
    <row r="13" spans="1:18" x14ac:dyDescent="0.25">
      <c r="C13" s="1137" t="s">
        <v>414</v>
      </c>
      <c r="D13" s="1146">
        <f ca="1">D240*$D$11</f>
        <v>0</v>
      </c>
      <c r="E13" s="1147">
        <f>'2. VOS DONNEES'!F318</f>
        <v>0</v>
      </c>
      <c r="F13" s="523">
        <f t="shared" ref="F13:F16" ca="1" si="0">F240</f>
        <v>0</v>
      </c>
    </row>
    <row r="14" spans="1:18" x14ac:dyDescent="0.25">
      <c r="C14" s="1137" t="s">
        <v>415</v>
      </c>
      <c r="D14" s="1146">
        <f ca="1">D241*$D$11</f>
        <v>0</v>
      </c>
      <c r="E14" s="1147">
        <f>'2. VOS DONNEES'!F319</f>
        <v>5</v>
      </c>
      <c r="F14" s="523">
        <f t="shared" ca="1" si="0"/>
        <v>-5</v>
      </c>
    </row>
    <row r="15" spans="1:18" x14ac:dyDescent="0.25">
      <c r="C15" s="1137" t="s">
        <v>416</v>
      </c>
      <c r="D15" s="1146">
        <f ca="1">D242*$D$11</f>
        <v>0</v>
      </c>
      <c r="E15" s="1147">
        <f>'2. VOS DONNEES'!F320</f>
        <v>0</v>
      </c>
      <c r="F15" s="523">
        <f t="shared" ca="1" si="0"/>
        <v>0</v>
      </c>
    </row>
    <row r="16" spans="1:18" x14ac:dyDescent="0.25">
      <c r="C16" s="1138" t="s">
        <v>417</v>
      </c>
      <c r="D16" s="1146">
        <f ca="1">D243*$D$11</f>
        <v>0</v>
      </c>
      <c r="E16" s="1147">
        <f>'2. VOS DONNEES'!F321</f>
        <v>0</v>
      </c>
      <c r="F16" s="523">
        <f t="shared" ca="1" si="0"/>
        <v>0</v>
      </c>
      <c r="K16" t="s">
        <v>630</v>
      </c>
    </row>
    <row r="17" spans="1:30" x14ac:dyDescent="0.25">
      <c r="C17" s="1138" t="s">
        <v>419</v>
      </c>
      <c r="D17" s="1148"/>
      <c r="E17" s="1148"/>
      <c r="F17" s="1148"/>
    </row>
    <row r="18" spans="1:30" x14ac:dyDescent="0.25">
      <c r="C18" s="1138" t="s">
        <v>422</v>
      </c>
      <c r="D18" s="1146">
        <f>'2. VOS DONNEES'!E174*D11</f>
        <v>0</v>
      </c>
      <c r="E18" s="1148"/>
      <c r="F18" s="1148"/>
    </row>
    <row r="19" spans="1:30" x14ac:dyDescent="0.25">
      <c r="C19" s="1138" t="s">
        <v>423</v>
      </c>
      <c r="D19" s="1146">
        <f>'2. VOS DONNEES'!E179*D11</f>
        <v>0</v>
      </c>
      <c r="E19" s="1148"/>
      <c r="F19" s="1148"/>
    </row>
    <row r="21" spans="1:30" ht="48.75" customHeight="1" x14ac:dyDescent="0.25">
      <c r="A21" s="1210"/>
      <c r="B21" s="1210"/>
      <c r="C21" s="1211" t="s">
        <v>631</v>
      </c>
      <c r="D21" s="1210"/>
      <c r="E21" s="1210"/>
      <c r="F21" s="1210"/>
      <c r="G21" s="1210"/>
      <c r="H21" s="1210"/>
      <c r="I21" s="1210"/>
      <c r="J21" s="1210"/>
      <c r="K21" s="1210"/>
      <c r="L21" s="1210"/>
      <c r="M21" s="1210"/>
      <c r="N21" s="1210"/>
      <c r="O21" s="1210"/>
      <c r="P21" s="1210"/>
      <c r="Q21" s="1210"/>
      <c r="R21" s="1210"/>
      <c r="S21" s="1210"/>
      <c r="T21" s="1210"/>
      <c r="U21" s="1210"/>
      <c r="V21" s="1210"/>
      <c r="W21" s="1210"/>
      <c r="X21" s="1210"/>
      <c r="Y21" s="1210"/>
      <c r="Z21" s="1210"/>
      <c r="AA21" s="1210"/>
      <c r="AB21" s="1210"/>
      <c r="AC21" s="1210"/>
      <c r="AD21" s="1210"/>
    </row>
    <row r="23" spans="1:30" x14ac:dyDescent="0.25">
      <c r="C23" s="1152" t="s">
        <v>632</v>
      </c>
      <c r="D23" s="1152"/>
    </row>
    <row r="24" spans="1:30" x14ac:dyDescent="0.25">
      <c r="C24" s="33" t="s">
        <v>633</v>
      </c>
      <c r="D24" s="33">
        <f>IF(D5="oui",1,0)</f>
        <v>0</v>
      </c>
    </row>
    <row r="25" spans="1:30" x14ac:dyDescent="0.25">
      <c r="C25" s="33" t="s">
        <v>634</v>
      </c>
      <c r="D25" s="33">
        <f>IF(D6="oui",1,0)</f>
        <v>0</v>
      </c>
    </row>
    <row r="26" spans="1:30" x14ac:dyDescent="0.25">
      <c r="C26" s="33" t="s">
        <v>635</v>
      </c>
      <c r="D26" s="33">
        <f>IF(D7="oui",1,0)</f>
        <v>0</v>
      </c>
    </row>
    <row r="27" spans="1:30" x14ac:dyDescent="0.25">
      <c r="C27" s="33" t="s">
        <v>636</v>
      </c>
      <c r="D27" s="33">
        <f>IF(D8="oui",1,0)</f>
        <v>0</v>
      </c>
    </row>
    <row r="28" spans="1:30" x14ac:dyDescent="0.25">
      <c r="C28" s="33" t="s">
        <v>637</v>
      </c>
      <c r="D28" s="33">
        <f>IF(D9="oui",1,0)</f>
        <v>0</v>
      </c>
    </row>
    <row r="29" spans="1:30" x14ac:dyDescent="0.25">
      <c r="C29" s="33" t="s">
        <v>638</v>
      </c>
      <c r="D29" s="33" t="str">
        <f>IF(D24*(SUM(D25:D28))&gt;=1,"ok bio","ko bio")</f>
        <v>ko bio</v>
      </c>
    </row>
    <row r="30" spans="1:30" x14ac:dyDescent="0.25">
      <c r="C30" s="33" t="s">
        <v>639</v>
      </c>
      <c r="D30" s="33">
        <f>IF(D29="ok bio",1,0)</f>
        <v>0</v>
      </c>
    </row>
    <row r="32" spans="1:30" ht="15.75" thickBot="1" x14ac:dyDescent="0.3">
      <c r="C32" s="1152" t="s">
        <v>640</v>
      </c>
      <c r="D32" s="1152"/>
    </row>
    <row r="33" spans="3:5" ht="15.75" thickBot="1" x14ac:dyDescent="0.3">
      <c r="C33" s="439" t="s">
        <v>641</v>
      </c>
      <c r="D33" s="6" t="s">
        <v>62</v>
      </c>
      <c r="E33" s="242" t="s">
        <v>642</v>
      </c>
    </row>
    <row r="34" spans="3:5" ht="15.75" thickBot="1" x14ac:dyDescent="0.3">
      <c r="C34" s="1158" t="s">
        <v>27</v>
      </c>
      <c r="D34" s="1157">
        <f>IF(D$30=1,IFERROR(VLOOKUP(C34,'2. VOS DONNEES'!$D$4:$E$283,2,FALSE),0),0)</f>
        <v>0</v>
      </c>
      <c r="E34" t="s">
        <v>643</v>
      </c>
    </row>
    <row r="35" spans="3:5" ht="15.75" thickBot="1" x14ac:dyDescent="0.3">
      <c r="C35" s="1159" t="s">
        <v>106</v>
      </c>
      <c r="D35" s="1157">
        <f>IF(D$30=1,IFERROR(VLOOKUP(C35,'2. VOS DONNEES'!$D$4:$E$283,2,FALSE),0),0)</f>
        <v>0</v>
      </c>
    </row>
    <row r="36" spans="3:5" ht="15.75" thickBot="1" x14ac:dyDescent="0.3">
      <c r="C36" s="1160" t="s">
        <v>107</v>
      </c>
      <c r="D36" s="1157">
        <f>IF(D$30=1,IFERROR(VLOOKUP(C36,'2. VOS DONNEES'!$D$4:$E$283,2,FALSE),0),0)</f>
        <v>0</v>
      </c>
    </row>
    <row r="37" spans="3:5" ht="15.75" thickBot="1" x14ac:dyDescent="0.3">
      <c r="C37" s="1160" t="s">
        <v>108</v>
      </c>
      <c r="D37" s="1157">
        <f>IF(D$30=1,IFERROR(VLOOKUP(C37,'2. VOS DONNEES'!$D$4:$E$283,2,FALSE),0),0)</f>
        <v>0</v>
      </c>
    </row>
    <row r="38" spans="3:5" ht="15.75" thickBot="1" x14ac:dyDescent="0.3">
      <c r="C38" s="1160" t="s">
        <v>103</v>
      </c>
      <c r="D38" s="1157">
        <f>IF(D$30=1,IFERROR(VLOOKUP(C38,'2. VOS DONNEES'!$D$4:$E$283,2,FALSE),0),0)</f>
        <v>0</v>
      </c>
    </row>
    <row r="39" spans="3:5" ht="15.75" thickBot="1" x14ac:dyDescent="0.3">
      <c r="C39" s="1160" t="s">
        <v>644</v>
      </c>
      <c r="D39" s="1157">
        <f>IF(D$30=1,IFERROR(VLOOKUP(C39,'2. VOS DONNEES'!$D$4:$E$283,2,FALSE),0),0)</f>
        <v>0</v>
      </c>
    </row>
    <row r="40" spans="3:5" ht="15.75" thickBot="1" x14ac:dyDescent="0.3">
      <c r="C40" s="1160" t="s">
        <v>110</v>
      </c>
      <c r="D40" s="1157">
        <f>IF(D$30=1,IFERROR(VLOOKUP(C40,'2. VOS DONNEES'!$D$4:$E$283,2,FALSE),0),0)</f>
        <v>0</v>
      </c>
    </row>
    <row r="41" spans="3:5" ht="15.75" thickBot="1" x14ac:dyDescent="0.3">
      <c r="C41" s="1160" t="s">
        <v>645</v>
      </c>
      <c r="D41" s="1157">
        <f>IF(D$30=1,IFERROR(VLOOKUP(C41,'2. VOS DONNEES'!$D$4:$E$283,2,FALSE),0),0)</f>
        <v>0</v>
      </c>
    </row>
    <row r="42" spans="3:5" ht="15.75" thickBot="1" x14ac:dyDescent="0.3">
      <c r="C42" s="1160" t="s">
        <v>109</v>
      </c>
      <c r="D42" s="1157">
        <f>IF(D$30=1,IFERROR(VLOOKUP(C42,'2. VOS DONNEES'!$D$4:$E$283,2,FALSE),0),0)</f>
        <v>0</v>
      </c>
    </row>
    <row r="43" spans="3:5" ht="15.75" thickBot="1" x14ac:dyDescent="0.3">
      <c r="C43" s="1160" t="s">
        <v>646</v>
      </c>
      <c r="D43" s="1157">
        <f>IF(D$30=1,IFERROR(VLOOKUP(C43,'2. VOS DONNEES'!$D$4:$E$283,2,FALSE),0),0)</f>
        <v>0</v>
      </c>
    </row>
    <row r="44" spans="3:5" ht="15.75" thickBot="1" x14ac:dyDescent="0.3">
      <c r="C44" s="1160" t="s">
        <v>79</v>
      </c>
      <c r="D44" s="1157">
        <f>IF(D$30=1,IFERROR(VLOOKUP(C44,'2. VOS DONNEES'!$D$4:$E$283,2,FALSE),0),0)</f>
        <v>0</v>
      </c>
    </row>
    <row r="45" spans="3:5" ht="15.75" thickBot="1" x14ac:dyDescent="0.3">
      <c r="C45" s="1160" t="s">
        <v>647</v>
      </c>
      <c r="D45" s="1157">
        <f>IF(D$30=1,IFERROR(VLOOKUP(C45,'2. VOS DONNEES'!$D$4:$E$283,2,FALSE),0),0)</f>
        <v>0</v>
      </c>
    </row>
    <row r="46" spans="3:5" ht="15.75" thickBot="1" x14ac:dyDescent="0.3">
      <c r="C46" s="1160" t="s">
        <v>648</v>
      </c>
      <c r="D46" s="1157">
        <f>IF(D$30=1,IFERROR(VLOOKUP(C46,'2. VOS DONNEES'!$D$4:$E$283,2,FALSE),0),0)</f>
        <v>0</v>
      </c>
    </row>
    <row r="47" spans="3:5" ht="15.75" thickBot="1" x14ac:dyDescent="0.3">
      <c r="C47" s="1160" t="s">
        <v>113</v>
      </c>
      <c r="D47" s="1157">
        <f>IF(D$30=1,IFERROR(VLOOKUP(C47,'2. VOS DONNEES'!$D$4:$E$283,2,FALSE),0),0)</f>
        <v>0</v>
      </c>
    </row>
    <row r="48" spans="3:5" ht="15.75" thickBot="1" x14ac:dyDescent="0.3">
      <c r="C48" s="1161" t="s">
        <v>649</v>
      </c>
      <c r="D48" s="1157">
        <f>IF(D$30=1,IFERROR(VLOOKUP(C48,'2. VOS DONNEES'!$D$4:$E$283,2,FALSE),0),0)</f>
        <v>0</v>
      </c>
    </row>
    <row r="49" spans="3:8" ht="15.75" thickBot="1" x14ac:dyDescent="0.3"/>
    <row r="50" spans="3:8" ht="15.75" thickBot="1" x14ac:dyDescent="0.3">
      <c r="C50" s="186" t="s">
        <v>650</v>
      </c>
      <c r="D50" s="556">
        <f>IF(D$30=1,IFERROR(VLOOKUP(C50,'2. VOS DONNEES'!$D$6:$E$14,2,FALSE),0),0)</f>
        <v>0</v>
      </c>
      <c r="E50" t="s">
        <v>643</v>
      </c>
    </row>
    <row r="51" spans="3:8" ht="15.75" thickBot="1" x14ac:dyDescent="0.3"/>
    <row r="52" spans="3:8" ht="15.75" thickBot="1" x14ac:dyDescent="0.3">
      <c r="C52" s="9" t="s">
        <v>651</v>
      </c>
      <c r="D52" s="453">
        <f>SUM(D34:D48)</f>
        <v>0</v>
      </c>
      <c r="E52" t="s">
        <v>643</v>
      </c>
    </row>
    <row r="53" spans="3:8" ht="15.75" thickBot="1" x14ac:dyDescent="0.3">
      <c r="C53" s="1162" t="s">
        <v>652</v>
      </c>
      <c r="D53" s="1163">
        <f>D52+D50</f>
        <v>0</v>
      </c>
      <c r="E53" s="913" t="s">
        <v>643</v>
      </c>
    </row>
    <row r="54" spans="3:8" ht="15.75" thickBot="1" x14ac:dyDescent="0.3">
      <c r="C54" s="2"/>
      <c r="D54" s="84"/>
    </row>
    <row r="55" spans="3:8" ht="15.75" thickBot="1" x14ac:dyDescent="0.3">
      <c r="C55" s="439" t="s">
        <v>653</v>
      </c>
      <c r="D55" s="6" t="s">
        <v>62</v>
      </c>
      <c r="E55" s="242" t="s">
        <v>642</v>
      </c>
    </row>
    <row r="56" spans="3:8" ht="15.75" thickBot="1" x14ac:dyDescent="0.3">
      <c r="C56" s="65" t="s">
        <v>127</v>
      </c>
      <c r="D56" s="1157">
        <f>IF($D$30=1,VLOOKUP(C56,'2. VOS DONNEES'!$D$103:$E$110,2,FALSE),0)</f>
        <v>0</v>
      </c>
      <c r="E56" s="1130" t="s">
        <v>63</v>
      </c>
    </row>
    <row r="57" spans="3:8" ht="15.75" thickBot="1" x14ac:dyDescent="0.3">
      <c r="C57" s="65" t="s">
        <v>128</v>
      </c>
      <c r="D57" s="1157">
        <f>IF($D$30=1,VLOOKUP(C57,'2. VOS DONNEES'!$D$103:$E$110,2,FALSE),0)</f>
        <v>0</v>
      </c>
      <c r="E57" s="1131"/>
    </row>
    <row r="58" spans="3:8" ht="15.75" thickBot="1" x14ac:dyDescent="0.3">
      <c r="C58" s="65" t="s">
        <v>130</v>
      </c>
      <c r="D58" s="1157">
        <f>IF($D$30=1,VLOOKUP(C58,'2. VOS DONNEES'!$D$103:$E$110,2,FALSE),0)</f>
        <v>0</v>
      </c>
      <c r="E58" s="1131"/>
    </row>
    <row r="59" spans="3:8" ht="15.75" thickBot="1" x14ac:dyDescent="0.3">
      <c r="C59" s="65" t="s">
        <v>131</v>
      </c>
      <c r="D59" s="1157">
        <f>IF($D$30=1,VLOOKUP(C59,'2. VOS DONNEES'!$D$103:$E$110,2,FALSE),0)</f>
        <v>0</v>
      </c>
      <c r="E59" s="1131"/>
    </row>
    <row r="60" spans="3:8" ht="15.75" thickBot="1" x14ac:dyDescent="0.3">
      <c r="C60" s="65" t="s">
        <v>132</v>
      </c>
      <c r="D60" s="1157">
        <f>IF($D$30=1,VLOOKUP(C60,'2. VOS DONNEES'!$D$103:$E$110,2,FALSE),0)</f>
        <v>0</v>
      </c>
      <c r="E60" s="1131"/>
    </row>
    <row r="61" spans="3:8" ht="15.75" thickBot="1" x14ac:dyDescent="0.3">
      <c r="C61" s="65" t="s">
        <v>134</v>
      </c>
      <c r="D61" s="1157">
        <f>IF($D$30=1,VLOOKUP(C61,'2. VOS DONNEES'!$D$103:$E$110,2,FALSE),0)</f>
        <v>0</v>
      </c>
      <c r="E61" s="1131"/>
    </row>
    <row r="62" spans="3:8" ht="15.75" thickBot="1" x14ac:dyDescent="0.3">
      <c r="C62" s="435" t="s">
        <v>136</v>
      </c>
      <c r="D62" s="1157">
        <f>IF($D$30=1,VLOOKUP(C62,'2. VOS DONNEES'!$D$103:$E$110,2,FALSE),0)</f>
        <v>0</v>
      </c>
      <c r="E62" s="1131"/>
    </row>
    <row r="63" spans="3:8" ht="15.75" thickBot="1" x14ac:dyDescent="0.3">
      <c r="C63" s="293" t="s">
        <v>138</v>
      </c>
      <c r="D63" s="1157">
        <f>IF($D$30=1,VLOOKUP(C63,'2. VOS DONNEES'!$D$103:$E$110,2,FALSE),0)</f>
        <v>0</v>
      </c>
      <c r="E63" s="1132"/>
    </row>
    <row r="64" spans="3:8" ht="15.75" thickBot="1" x14ac:dyDescent="0.3">
      <c r="G64" s="56" t="s">
        <v>654</v>
      </c>
      <c r="H64" s="1202"/>
    </row>
    <row r="65" spans="3:12" ht="15.75" thickBot="1" x14ac:dyDescent="0.3">
      <c r="C65" s="7" t="s">
        <v>654</v>
      </c>
      <c r="D65" s="57" t="s">
        <v>655</v>
      </c>
      <c r="E65" s="299"/>
      <c r="G65" s="430" t="s">
        <v>656</v>
      </c>
      <c r="H65" s="57"/>
      <c r="I65" s="431" t="s">
        <v>657</v>
      </c>
      <c r="J65" s="432" t="s">
        <v>658</v>
      </c>
      <c r="K65" s="433" t="s">
        <v>659</v>
      </c>
    </row>
    <row r="66" spans="3:12" ht="16.5" thickBot="1" x14ac:dyDescent="0.3">
      <c r="C66" s="65" t="s">
        <v>127</v>
      </c>
      <c r="D66" s="1153">
        <f>VLOOKUP(C66,$G$65:$K$73,4,FALSE)</f>
        <v>1</v>
      </c>
      <c r="E66" s="1154" t="s">
        <v>655</v>
      </c>
      <c r="G66" s="65" t="s">
        <v>127</v>
      </c>
      <c r="H66" s="67"/>
      <c r="I66" s="268">
        <f>VLOOKUP(G66,'2. VOS DONNEES'!$D$103:$E$110,2,FALSE)</f>
        <v>0</v>
      </c>
      <c r="J66" s="185">
        <v>1</v>
      </c>
      <c r="K66" s="434">
        <f>I66*J66</f>
        <v>0</v>
      </c>
    </row>
    <row r="67" spans="3:12" ht="16.5" thickBot="1" x14ac:dyDescent="0.3">
      <c r="C67" s="65" t="s">
        <v>128</v>
      </c>
      <c r="D67" s="1153">
        <f t="shared" ref="D67:D73" si="1">VLOOKUP(C67,$G$65:$K$73,4,FALSE)</f>
        <v>1</v>
      </c>
      <c r="E67" s="1155"/>
      <c r="G67" s="65" t="s">
        <v>128</v>
      </c>
      <c r="H67" s="67"/>
      <c r="I67" s="268">
        <f>VLOOKUP(G67,'2. VOS DONNEES'!$D$103:$E$110,2,FALSE)</f>
        <v>0</v>
      </c>
      <c r="J67" s="185">
        <v>1</v>
      </c>
      <c r="K67" s="434">
        <f>I67*J67</f>
        <v>0</v>
      </c>
    </row>
    <row r="68" spans="3:12" ht="16.5" thickBot="1" x14ac:dyDescent="0.3">
      <c r="C68" s="65" t="s">
        <v>130</v>
      </c>
      <c r="D68" s="1153">
        <f t="shared" si="1"/>
        <v>0.8</v>
      </c>
      <c r="E68" s="1155"/>
      <c r="G68" s="65" t="s">
        <v>130</v>
      </c>
      <c r="H68" s="67"/>
      <c r="I68" s="268">
        <f>VLOOKUP(G68,'2. VOS DONNEES'!$D$103:$E$110,2,FALSE)</f>
        <v>0</v>
      </c>
      <c r="J68" s="185">
        <v>0.8</v>
      </c>
      <c r="K68" s="434">
        <f t="shared" ref="K68:K73" si="2">I68*J68</f>
        <v>0</v>
      </c>
    </row>
    <row r="69" spans="3:12" ht="16.5" thickBot="1" x14ac:dyDescent="0.3">
      <c r="C69" s="65" t="s">
        <v>131</v>
      </c>
      <c r="D69" s="1153">
        <f t="shared" si="1"/>
        <v>0.7</v>
      </c>
      <c r="E69" s="1155"/>
      <c r="G69" s="65" t="s">
        <v>131</v>
      </c>
      <c r="H69" s="67"/>
      <c r="I69" s="268">
        <f>VLOOKUP(G69,'2. VOS DONNEES'!$D$103:$E$110,2,FALSE)</f>
        <v>0</v>
      </c>
      <c r="J69" s="185">
        <v>0.7</v>
      </c>
      <c r="K69" s="434">
        <f t="shared" si="2"/>
        <v>0</v>
      </c>
    </row>
    <row r="70" spans="3:12" ht="16.5" thickBot="1" x14ac:dyDescent="0.3">
      <c r="C70" s="65" t="s">
        <v>132</v>
      </c>
      <c r="D70" s="1153">
        <f t="shared" si="1"/>
        <v>0.4</v>
      </c>
      <c r="E70" s="1155"/>
      <c r="G70" s="65" t="s">
        <v>132</v>
      </c>
      <c r="H70" s="67"/>
      <c r="I70" s="268">
        <f>VLOOKUP(G70,'2. VOS DONNEES'!$D$103:$E$110,2,FALSE)</f>
        <v>0</v>
      </c>
      <c r="J70" s="185">
        <v>0.4</v>
      </c>
      <c r="K70" s="434">
        <f t="shared" si="2"/>
        <v>0</v>
      </c>
    </row>
    <row r="71" spans="3:12" ht="16.5" thickBot="1" x14ac:dyDescent="0.3">
      <c r="C71" s="65" t="s">
        <v>134</v>
      </c>
      <c r="D71" s="1153">
        <f t="shared" si="1"/>
        <v>0.1</v>
      </c>
      <c r="E71" s="1155"/>
      <c r="G71" s="65" t="s">
        <v>134</v>
      </c>
      <c r="H71" s="67"/>
      <c r="I71" s="268">
        <f>VLOOKUP(G71,'2. VOS DONNEES'!$D$103:$E$110,2,FALSE)</f>
        <v>0</v>
      </c>
      <c r="J71" s="185">
        <v>0.1</v>
      </c>
      <c r="K71" s="434">
        <f t="shared" si="2"/>
        <v>0</v>
      </c>
    </row>
    <row r="72" spans="3:12" ht="16.5" thickBot="1" x14ac:dyDescent="0.3">
      <c r="C72" s="65" t="s">
        <v>136</v>
      </c>
      <c r="D72" s="1153">
        <f t="shared" si="1"/>
        <v>0.8</v>
      </c>
      <c r="E72" s="1155"/>
      <c r="G72" s="435" t="s">
        <v>136</v>
      </c>
      <c r="H72" s="64"/>
      <c r="I72" s="268">
        <f>VLOOKUP(G72,'2. VOS DONNEES'!$D$103:$E$110,2,FALSE)</f>
        <v>0</v>
      </c>
      <c r="J72" s="185">
        <v>0.8</v>
      </c>
      <c r="K72" s="434">
        <f t="shared" si="2"/>
        <v>0</v>
      </c>
    </row>
    <row r="73" spans="3:12" ht="16.5" thickBot="1" x14ac:dyDescent="0.3">
      <c r="C73" s="293" t="s">
        <v>138</v>
      </c>
      <c r="D73" s="1153">
        <f t="shared" si="1"/>
        <v>0.2</v>
      </c>
      <c r="E73" s="634"/>
      <c r="G73" s="293" t="s">
        <v>138</v>
      </c>
      <c r="H73" s="78"/>
      <c r="I73" s="436">
        <f>VLOOKUP(G73,'2. VOS DONNEES'!$D$103:$E$110,2,FALSE)</f>
        <v>0</v>
      </c>
      <c r="J73" s="437">
        <v>0.2</v>
      </c>
      <c r="K73" s="438">
        <f t="shared" si="2"/>
        <v>0</v>
      </c>
    </row>
    <row r="74" spans="3:12" ht="16.5" thickBot="1" x14ac:dyDescent="0.3">
      <c r="C74" s="1164" t="s">
        <v>660</v>
      </c>
      <c r="D74" s="1165">
        <f>SUM(K66:K73)</f>
        <v>0</v>
      </c>
      <c r="E74" s="913" t="s">
        <v>655</v>
      </c>
    </row>
    <row r="75" spans="3:12" ht="15.75" thickBot="1" x14ac:dyDescent="0.3"/>
    <row r="76" spans="3:12" ht="15.75" thickBot="1" x14ac:dyDescent="0.3">
      <c r="C76" s="439" t="s">
        <v>661</v>
      </c>
      <c r="D76" s="439"/>
      <c r="E76" s="439"/>
      <c r="F76" t="s">
        <v>662</v>
      </c>
    </row>
    <row r="77" spans="3:12" x14ac:dyDescent="0.25">
      <c r="C77" t="s">
        <v>663</v>
      </c>
      <c r="D77" s="1156">
        <f>IFERROR(ROUND(D74/D53,2),0)</f>
        <v>0</v>
      </c>
      <c r="E77" t="s">
        <v>664</v>
      </c>
      <c r="K77" s="2"/>
      <c r="L77" s="84"/>
    </row>
    <row r="78" spans="3:12" x14ac:dyDescent="0.25">
      <c r="C78" t="s">
        <v>665</v>
      </c>
      <c r="D78" s="1156" cm="1">
        <f t="array" aca="1" ref="D78" ca="1">IFERROR(D77(D77&lt;0.6,"prorata","non"),0)</f>
        <v>0</v>
      </c>
      <c r="K78" s="2"/>
      <c r="L78" s="84"/>
    </row>
    <row r="79" spans="3:12" x14ac:dyDescent="0.25">
      <c r="D79" s="1156"/>
      <c r="K79" s="2"/>
      <c r="L79" s="84"/>
    </row>
    <row r="80" spans="3:12" ht="30" customHeight="1" x14ac:dyDescent="0.25">
      <c r="C80" s="154" t="s">
        <v>666</v>
      </c>
      <c r="D80" s="154"/>
      <c r="E80" s="154"/>
    </row>
    <row r="81" spans="3:6" x14ac:dyDescent="0.25">
      <c r="C81" s="33" t="s">
        <v>667</v>
      </c>
      <c r="D81" s="33" t="s">
        <v>668</v>
      </c>
      <c r="E81" t="s">
        <v>643</v>
      </c>
    </row>
    <row r="82" spans="3:6" x14ac:dyDescent="0.25">
      <c r="C82" s="33" t="s">
        <v>669</v>
      </c>
      <c r="D82" s="33">
        <f>'2. VOS DONNEES'!E292</f>
        <v>0</v>
      </c>
    </row>
    <row r="83" spans="3:6" x14ac:dyDescent="0.25">
      <c r="C83" s="33" t="s">
        <v>670</v>
      </c>
      <c r="D83" s="33">
        <f>'2. VOS DONNEES'!E293</f>
        <v>0</v>
      </c>
    </row>
    <row r="84" spans="3:6" x14ac:dyDescent="0.25">
      <c r="C84" s="33" t="s">
        <v>671</v>
      </c>
      <c r="D84" s="33">
        <f>'2. VOS DONNEES'!E294</f>
        <v>0</v>
      </c>
    </row>
    <row r="85" spans="3:6" x14ac:dyDescent="0.25">
      <c r="C85" s="33" t="s">
        <v>672</v>
      </c>
      <c r="D85" s="33">
        <f>'2. VOS DONNEES'!E295</f>
        <v>0</v>
      </c>
    </row>
    <row r="86" spans="3:6" ht="17.25" customHeight="1" x14ac:dyDescent="0.25">
      <c r="C86" s="33" t="s">
        <v>673</v>
      </c>
      <c r="D86" s="33">
        <f>'2. VOS DONNEES'!E296</f>
        <v>0</v>
      </c>
    </row>
    <row r="87" spans="3:6" x14ac:dyDescent="0.25">
      <c r="C87" s="1166" t="s">
        <v>674</v>
      </c>
      <c r="D87" s="1166">
        <f>SUM(D82:D86)</f>
        <v>0</v>
      </c>
      <c r="E87" s="1167"/>
    </row>
    <row r="90" spans="3:6" x14ac:dyDescent="0.25">
      <c r="C90" s="154" t="s">
        <v>675</v>
      </c>
      <c r="D90" s="154"/>
      <c r="E90" s="154"/>
    </row>
    <row r="91" spans="3:6" x14ac:dyDescent="0.25">
      <c r="C91" s="1169" t="s">
        <v>676</v>
      </c>
      <c r="D91" s="1169" t="s">
        <v>677</v>
      </c>
      <c r="E91" s="1169" t="s">
        <v>678</v>
      </c>
      <c r="F91" t="s">
        <v>679</v>
      </c>
    </row>
    <row r="92" spans="3:6" x14ac:dyDescent="0.25">
      <c r="C92" s="33" t="s">
        <v>680</v>
      </c>
      <c r="D92" s="33">
        <v>3</v>
      </c>
      <c r="E92" s="891">
        <f>IF(ISNA(VLOOKUP(C92,'2. VOS DONNEES'!$D$44:$E$99,2,FALSE)),0,(VLOOKUP(C92,'2. VOS DONNEES'!$D$44:$E$99,2,FALSE)))</f>
        <v>0</v>
      </c>
    </row>
    <row r="93" spans="3:6" x14ac:dyDescent="0.25">
      <c r="C93" s="33" t="s">
        <v>121</v>
      </c>
      <c r="D93" s="33">
        <v>3</v>
      </c>
      <c r="E93" s="891">
        <f>IF(ISNA(VLOOKUP(C93,'2. VOS DONNEES'!$D$44:$E$99,2,FALSE)),0,(VLOOKUP(C93,'2. VOS DONNEES'!$D$44:$E$99,2,FALSE)))</f>
        <v>0</v>
      </c>
    </row>
    <row r="94" spans="3:6" x14ac:dyDescent="0.25">
      <c r="C94" s="1150" t="s">
        <v>98</v>
      </c>
      <c r="D94" s="33">
        <v>3</v>
      </c>
      <c r="E94" s="891">
        <f>IF(ISNA(VLOOKUP(C94,'2. VOS DONNEES'!$D$44:$E$99,2,FALSE)),0,(VLOOKUP(C94,'2. VOS DONNEES'!$D$44:$E$99,2,FALSE)))</f>
        <v>0</v>
      </c>
    </row>
    <row r="95" spans="3:6" x14ac:dyDescent="0.25">
      <c r="C95" s="33" t="s">
        <v>119</v>
      </c>
      <c r="D95" s="33">
        <v>3</v>
      </c>
      <c r="E95" s="891">
        <f>IF(ISNA(VLOOKUP(C95,'2. VOS DONNEES'!$D$44:$E$99,2,FALSE)),0,(VLOOKUP(C95,'2. VOS DONNEES'!$D$44:$E$99,2,FALSE)))</f>
        <v>0</v>
      </c>
    </row>
    <row r="96" spans="3:6" x14ac:dyDescent="0.25">
      <c r="C96" s="1150" t="s">
        <v>681</v>
      </c>
      <c r="D96" s="33">
        <v>3</v>
      </c>
      <c r="E96" s="891">
        <f>IF(ISNA(VLOOKUP(C96,'2. VOS DONNEES'!$D$44:$E$99,2,FALSE)),0,(VLOOKUP(C96,'2. VOS DONNEES'!$D$44:$E$99,2,FALSE)))</f>
        <v>0</v>
      </c>
    </row>
    <row r="97" spans="3:5" x14ac:dyDescent="0.25">
      <c r="C97" s="1150" t="s">
        <v>682</v>
      </c>
      <c r="D97" s="33">
        <v>3</v>
      </c>
      <c r="E97" s="891">
        <f>IF(ISNA(VLOOKUP(C97,'2. VOS DONNEES'!$D$44:$E$99,2,FALSE)),0,(VLOOKUP(C97,'2. VOS DONNEES'!$D$44:$E$99,2,FALSE)))</f>
        <v>0</v>
      </c>
    </row>
    <row r="98" spans="3:5" x14ac:dyDescent="0.25">
      <c r="C98" s="1150" t="s">
        <v>683</v>
      </c>
      <c r="D98" s="33">
        <v>3</v>
      </c>
      <c r="E98" s="891">
        <f>IF(ISNA(VLOOKUP(C98,'2. VOS DONNEES'!$D$44:$E$99,2,FALSE)),0,(VLOOKUP(C98,'2. VOS DONNEES'!$D$44:$E$99,2,FALSE)))</f>
        <v>0</v>
      </c>
    </row>
    <row r="99" spans="3:5" x14ac:dyDescent="0.25">
      <c r="C99" s="33" t="s">
        <v>684</v>
      </c>
      <c r="D99" s="33">
        <v>3</v>
      </c>
      <c r="E99" s="891">
        <f>IF(ISNA(VLOOKUP(C99,'2. VOS DONNEES'!$D$44:$E$99,2,FALSE)),0,(VLOOKUP(C99,'2. VOS DONNEES'!$D$44:$E$99,2,FALSE)))</f>
        <v>0</v>
      </c>
    </row>
    <row r="100" spans="3:5" x14ac:dyDescent="0.25">
      <c r="C100" s="33" t="s">
        <v>93</v>
      </c>
      <c r="D100" s="33">
        <v>3</v>
      </c>
      <c r="E100" s="891">
        <f>IF(ISNA(VLOOKUP(C100,'2. VOS DONNEES'!$D$44:$E$99,2,FALSE)),0,(VLOOKUP(C100,'2. VOS DONNEES'!$D$44:$E$99,2,FALSE)))</f>
        <v>0</v>
      </c>
    </row>
    <row r="101" spans="3:5" x14ac:dyDescent="0.25">
      <c r="C101" s="33" t="s">
        <v>685</v>
      </c>
      <c r="D101" s="33">
        <v>3</v>
      </c>
      <c r="E101" s="891">
        <f>IF(ISNA(VLOOKUP(C101,'2. VOS DONNEES'!$D$44:$E$99,2,FALSE)),0,(VLOOKUP(C101,'2. VOS DONNEES'!$D$44:$E$99,2,FALSE)))</f>
        <v>0</v>
      </c>
    </row>
    <row r="102" spans="3:5" x14ac:dyDescent="0.25">
      <c r="C102" s="33" t="s">
        <v>686</v>
      </c>
      <c r="D102" s="33">
        <v>3</v>
      </c>
      <c r="E102" s="891">
        <f>IF(ISNA(VLOOKUP(C102,'2. VOS DONNEES'!$D$44:$E$99,2,FALSE)),0,(VLOOKUP(C102,'2. VOS DONNEES'!$D$44:$E$99,2,FALSE)))</f>
        <v>0</v>
      </c>
    </row>
    <row r="103" spans="3:5" x14ac:dyDescent="0.25">
      <c r="C103" s="33" t="s">
        <v>687</v>
      </c>
      <c r="D103" s="33">
        <v>3</v>
      </c>
      <c r="E103" s="891">
        <f>IF(ISNA(VLOOKUP(C103,'2. VOS DONNEES'!$D$44:$E$99,2,FALSE)),0,(VLOOKUP(C103,'2. VOS DONNEES'!$D$44:$E$99,2,FALSE)))</f>
        <v>0</v>
      </c>
    </row>
    <row r="104" spans="3:5" x14ac:dyDescent="0.25">
      <c r="C104" s="33" t="s">
        <v>91</v>
      </c>
      <c r="D104" s="33">
        <v>3</v>
      </c>
      <c r="E104" s="891">
        <f>IF(ISNA(VLOOKUP(C104,'2. VOS DONNEES'!$D$44:$E$99,2,FALSE)),0,(VLOOKUP(C104,'2. VOS DONNEES'!$D$44:$E$99,2,FALSE)))</f>
        <v>0</v>
      </c>
    </row>
    <row r="105" spans="3:5" x14ac:dyDescent="0.25">
      <c r="C105" s="33" t="s">
        <v>688</v>
      </c>
      <c r="D105" s="33">
        <v>3</v>
      </c>
      <c r="E105" s="891">
        <f>IF(ISNA(VLOOKUP(C105,'2. VOS DONNEES'!$D$44:$E$99,2,FALSE)),0,(VLOOKUP(C105,'2. VOS DONNEES'!$D$44:$E$99,2,FALSE)))</f>
        <v>0</v>
      </c>
    </row>
    <row r="106" spans="3:5" x14ac:dyDescent="0.25">
      <c r="C106" s="33" t="s">
        <v>689</v>
      </c>
      <c r="D106" s="33">
        <v>3</v>
      </c>
      <c r="E106" s="891">
        <f>IF(ISNA(VLOOKUP(C106,'2. VOS DONNEES'!$D$44:$E$99,2,FALSE)),0,(VLOOKUP(C106,'2. VOS DONNEES'!$D$44:$E$99,2,FALSE)))</f>
        <v>0</v>
      </c>
    </row>
    <row r="107" spans="3:5" x14ac:dyDescent="0.25">
      <c r="C107" s="33" t="s">
        <v>690</v>
      </c>
      <c r="D107" s="33">
        <v>3</v>
      </c>
      <c r="E107" s="891">
        <f>IF(ISNA(VLOOKUP(C107,'2. VOS DONNEES'!$D$44:$E$99,2,FALSE)),0,(VLOOKUP(C107,'2. VOS DONNEES'!$D$44:$E$99,2,FALSE)))</f>
        <v>0</v>
      </c>
    </row>
    <row r="108" spans="3:5" x14ac:dyDescent="0.25">
      <c r="C108" s="33" t="s">
        <v>691</v>
      </c>
      <c r="D108" s="33">
        <v>3</v>
      </c>
      <c r="E108" s="891">
        <f>IF(ISNA(VLOOKUP(C108,'2. VOS DONNEES'!$D$44:$E$99,2,FALSE)),0,(VLOOKUP(C108,'2. VOS DONNEES'!$D$44:$E$99,2,FALSE)))</f>
        <v>0</v>
      </c>
    </row>
    <row r="109" spans="3:5" x14ac:dyDescent="0.25">
      <c r="C109" s="33" t="s">
        <v>692</v>
      </c>
      <c r="D109" s="33">
        <v>3</v>
      </c>
      <c r="E109" s="891">
        <f>IF(ISNA(VLOOKUP(C109,'2. VOS DONNEES'!$D$44:$E$99,2,FALSE)),0,(VLOOKUP(C109,'2. VOS DONNEES'!$D$44:$E$99,2,FALSE)))</f>
        <v>0</v>
      </c>
    </row>
    <row r="110" spans="3:5" x14ac:dyDescent="0.25">
      <c r="C110" s="33" t="s">
        <v>693</v>
      </c>
      <c r="D110" s="33">
        <v>3</v>
      </c>
      <c r="E110" s="891">
        <f>IF(ISNA(VLOOKUP(C110,'2. VOS DONNEES'!$D$44:$E$99,2,FALSE)),0,(VLOOKUP(C110,'2. VOS DONNEES'!$D$44:$E$99,2,FALSE)))</f>
        <v>0</v>
      </c>
    </row>
    <row r="111" spans="3:5" x14ac:dyDescent="0.25">
      <c r="C111" s="33" t="s">
        <v>694</v>
      </c>
      <c r="D111" s="33">
        <v>3</v>
      </c>
      <c r="E111" s="891">
        <f>IF(ISNA(VLOOKUP(C111,'2. VOS DONNEES'!$D$44:$E$99,2,FALSE)),0,(VLOOKUP(C111,'2. VOS DONNEES'!$D$44:$E$99,2,FALSE)))</f>
        <v>0</v>
      </c>
    </row>
    <row r="112" spans="3:5" x14ac:dyDescent="0.25">
      <c r="C112" s="1142" t="s">
        <v>695</v>
      </c>
      <c r="D112" s="33">
        <v>3</v>
      </c>
      <c r="E112" s="891">
        <f>IF(ISNA(VLOOKUP(C112,'2. VOS DONNEES'!$D$44:$E$99,2,FALSE)),0,(VLOOKUP(C112,'2. VOS DONNEES'!$D$44:$E$99,2,FALSE)))</f>
        <v>0</v>
      </c>
    </row>
    <row r="113" spans="3:11" x14ac:dyDescent="0.25">
      <c r="C113" s="33" t="s">
        <v>696</v>
      </c>
      <c r="D113" s="33">
        <v>3</v>
      </c>
      <c r="E113" s="891">
        <f>IF(ISNA(VLOOKUP(C113,'2. VOS DONNEES'!$D$44:$E$99,2,FALSE)),0,(VLOOKUP(C113,'2. VOS DONNEES'!$D$44:$E$99,2,FALSE)))</f>
        <v>0</v>
      </c>
    </row>
    <row r="114" spans="3:11" x14ac:dyDescent="0.25">
      <c r="C114" s="1150" t="s">
        <v>90</v>
      </c>
      <c r="D114" s="33">
        <v>3</v>
      </c>
      <c r="E114" s="891">
        <f>IF(ISNA(VLOOKUP(C114,'2. VOS DONNEES'!$D$44:$E$99,2,FALSE)),0,(VLOOKUP(C114,'2. VOS DONNEES'!$D$44:$E$99,2,FALSE)))</f>
        <v>0</v>
      </c>
    </row>
    <row r="115" spans="3:11" x14ac:dyDescent="0.25">
      <c r="C115" s="1142" t="s">
        <v>103</v>
      </c>
      <c r="D115" s="33">
        <v>2</v>
      </c>
      <c r="E115" s="891">
        <f>IF(ISNA(VLOOKUP(C115,'2. VOS DONNEES'!$D$44:$E$99,2,FALSE)),0,(VLOOKUP(C115,'2. VOS DONNEES'!$D$44:$E$99,2,FALSE)))</f>
        <v>0</v>
      </c>
    </row>
    <row r="116" spans="3:11" x14ac:dyDescent="0.25">
      <c r="C116" s="1142" t="s">
        <v>698</v>
      </c>
      <c r="D116" s="33">
        <v>3</v>
      </c>
      <c r="E116" s="891">
        <f>IF(ISNA(VLOOKUP(C116,'2. VOS DONNEES'!$D$44:$E$99,2,FALSE)),0,(VLOOKUP(C116,'2. VOS DONNEES'!$D$44:$E$99,2,FALSE)))</f>
        <v>0</v>
      </c>
    </row>
    <row r="117" spans="3:11" x14ac:dyDescent="0.25">
      <c r="C117" s="33" t="s">
        <v>699</v>
      </c>
      <c r="D117" s="33">
        <v>4</v>
      </c>
      <c r="E117" s="891">
        <f>IF(ISNA(VLOOKUP(C117,'2. VOS DONNEES'!$D$44:$E$99,2,FALSE)),0,(VLOOKUP(C117,'2. VOS DONNEES'!$D$44:$E$99,2,FALSE)))</f>
        <v>0</v>
      </c>
    </row>
    <row r="118" spans="3:11" x14ac:dyDescent="0.25">
      <c r="C118" s="33" t="s">
        <v>700</v>
      </c>
      <c r="D118" s="33">
        <v>4</v>
      </c>
      <c r="E118" s="891">
        <f>IF(ISNA(VLOOKUP(C118,'2. VOS DONNEES'!$D$44:$E$99,2,FALSE)),0,(VLOOKUP(C118,'2. VOS DONNEES'!$D$44:$E$99,2,FALSE)))</f>
        <v>0</v>
      </c>
    </row>
    <row r="119" spans="3:11" x14ac:dyDescent="0.25">
      <c r="C119" s="33" t="s">
        <v>701</v>
      </c>
      <c r="D119" s="33">
        <v>4</v>
      </c>
      <c r="E119" s="891">
        <f>IF(ISNA(VLOOKUP(C119,'2. VOS DONNEES'!$D$44:$E$99,2,FALSE)),0,(VLOOKUP(C119,'2. VOS DONNEES'!$D$44:$E$99,2,FALSE)))</f>
        <v>0</v>
      </c>
    </row>
    <row r="120" spans="3:11" x14ac:dyDescent="0.25">
      <c r="C120" s="33" t="s">
        <v>702</v>
      </c>
      <c r="D120" s="33">
        <v>4</v>
      </c>
      <c r="E120" s="891">
        <f>IF(ISNA(VLOOKUP(C120,'2. VOS DONNEES'!$D$44:$E$99,2,FALSE)),0,(VLOOKUP(C120,'2. VOS DONNEES'!$D$44:$E$99,2,FALSE)))</f>
        <v>0</v>
      </c>
      <c r="K120" s="1149"/>
    </row>
    <row r="121" spans="3:11" x14ac:dyDescent="0.25">
      <c r="C121" s="33" t="s">
        <v>703</v>
      </c>
      <c r="D121" s="33">
        <v>4</v>
      </c>
      <c r="E121" s="891">
        <f>IF(ISNA(VLOOKUP(C121,'2. VOS DONNEES'!$D$44:$E$99,2,FALSE)),0,(VLOOKUP(C121,'2. VOS DONNEES'!$D$44:$E$99,2,FALSE)))</f>
        <v>0</v>
      </c>
    </row>
    <row r="122" spans="3:11" x14ac:dyDescent="0.25">
      <c r="C122" s="33" t="s">
        <v>704</v>
      </c>
      <c r="D122" s="33">
        <v>4</v>
      </c>
      <c r="E122" s="891">
        <f>IF(ISNA(VLOOKUP(C122,'2. VOS DONNEES'!$D$44:$E$99,2,FALSE)),0,(VLOOKUP(C122,'2. VOS DONNEES'!$D$44:$E$99,2,FALSE)))</f>
        <v>0</v>
      </c>
    </row>
    <row r="123" spans="3:11" x14ac:dyDescent="0.25">
      <c r="C123" s="33" t="s">
        <v>705</v>
      </c>
      <c r="D123" s="33">
        <v>4</v>
      </c>
      <c r="E123" s="891">
        <f>IF(ISNA(VLOOKUP(C123,'2. VOS DONNEES'!$D$44:$E$99,2,FALSE)),0,(VLOOKUP(C123,'2. VOS DONNEES'!$D$44:$E$99,2,FALSE)))</f>
        <v>0</v>
      </c>
    </row>
    <row r="124" spans="3:11" x14ac:dyDescent="0.25">
      <c r="C124" s="33" t="s">
        <v>706</v>
      </c>
      <c r="D124" s="33">
        <v>4</v>
      </c>
      <c r="E124" s="891">
        <f>IF(ISNA(VLOOKUP(C124,'2. VOS DONNEES'!$D$44:$E$99,2,FALSE)),0,(VLOOKUP(C124,'2. VOS DONNEES'!$D$44:$E$99,2,FALSE)))</f>
        <v>0</v>
      </c>
    </row>
    <row r="125" spans="3:11" x14ac:dyDescent="0.25">
      <c r="C125" s="33" t="s">
        <v>707</v>
      </c>
      <c r="D125" s="33">
        <v>4</v>
      </c>
      <c r="E125" s="891">
        <f>IF(ISNA(VLOOKUP(C125,'2. VOS DONNEES'!$D$44:$E$99,2,FALSE)),0,(VLOOKUP(C125,'2. VOS DONNEES'!$D$44:$E$99,2,FALSE)))</f>
        <v>0</v>
      </c>
    </row>
    <row r="126" spans="3:11" x14ac:dyDescent="0.25">
      <c r="C126" s="33" t="s">
        <v>708</v>
      </c>
      <c r="D126" s="33">
        <v>4</v>
      </c>
      <c r="E126" s="891">
        <f>IF(ISNA(VLOOKUP(C126,'2. VOS DONNEES'!$D$44:$E$99,2,FALSE)),0,(VLOOKUP(C126,'2. VOS DONNEES'!$D$44:$E$99,2,FALSE)))</f>
        <v>0</v>
      </c>
    </row>
    <row r="127" spans="3:11" x14ac:dyDescent="0.25">
      <c r="C127" s="33" t="s">
        <v>709</v>
      </c>
      <c r="D127" s="33">
        <v>4</v>
      </c>
      <c r="E127" s="891">
        <f>IF(ISNA(VLOOKUP(C127,'2. VOS DONNEES'!$D$44:$E$99,2,FALSE)),0,(VLOOKUP(C127,'2. VOS DONNEES'!$D$44:$E$99,2,FALSE)))</f>
        <v>0</v>
      </c>
    </row>
    <row r="128" spans="3:11" x14ac:dyDescent="0.25">
      <c r="C128" s="33" t="s">
        <v>710</v>
      </c>
      <c r="D128" s="33">
        <v>4</v>
      </c>
      <c r="E128" s="891">
        <f>IF(ISNA(VLOOKUP(C128,'2. VOS DONNEES'!$D$44:$E$99,2,FALSE)),0,(VLOOKUP(C128,'2. VOS DONNEES'!$D$44:$E$99,2,FALSE)))</f>
        <v>0</v>
      </c>
    </row>
    <row r="129" spans="3:10" x14ac:dyDescent="0.25">
      <c r="C129" s="33" t="s">
        <v>711</v>
      </c>
      <c r="D129" s="33">
        <v>4</v>
      </c>
      <c r="E129" s="891">
        <f>IF(ISNA(VLOOKUP(C129,'2. VOS DONNEES'!$D$44:$E$99,2,FALSE)),0,(VLOOKUP(C129,'2. VOS DONNEES'!$D$44:$E$99,2,FALSE)))</f>
        <v>0</v>
      </c>
    </row>
    <row r="130" spans="3:10" x14ac:dyDescent="0.25">
      <c r="C130" s="33" t="s">
        <v>712</v>
      </c>
      <c r="D130" s="33">
        <v>4</v>
      </c>
      <c r="E130" s="891">
        <f>IF(ISNA(VLOOKUP(C130,'2. VOS DONNEES'!$D$44:$E$99,2,FALSE)),0,(VLOOKUP(C130,'2. VOS DONNEES'!$D$44:$E$99,2,FALSE)))</f>
        <v>0</v>
      </c>
    </row>
    <row r="131" spans="3:10" x14ac:dyDescent="0.25">
      <c r="C131" s="33" t="s">
        <v>713</v>
      </c>
      <c r="D131" s="33">
        <v>4</v>
      </c>
      <c r="E131" s="891">
        <f>IF(ISNA(VLOOKUP(C131,'2. VOS DONNEES'!$D$44:$E$99,2,FALSE)),0,(VLOOKUP(C131,'2. VOS DONNEES'!$D$44:$E$99,2,FALSE)))</f>
        <v>0</v>
      </c>
    </row>
    <row r="132" spans="3:10" x14ac:dyDescent="0.25">
      <c r="C132" s="33" t="s">
        <v>714</v>
      </c>
      <c r="D132" s="33">
        <v>4</v>
      </c>
      <c r="E132" s="891">
        <f>IF(ISNA(VLOOKUP(C132,'2. VOS DONNEES'!$D$44:$E$99,2,FALSE)),0,(VLOOKUP(C132,'2. VOS DONNEES'!$D$44:$E$99,2,FALSE)))</f>
        <v>0</v>
      </c>
    </row>
    <row r="133" spans="3:10" x14ac:dyDescent="0.25">
      <c r="C133" s="33" t="s">
        <v>715</v>
      </c>
      <c r="D133" s="33">
        <v>4</v>
      </c>
      <c r="E133" s="891">
        <f>IF(ISNA(VLOOKUP(C133,'2. VOS DONNEES'!$D$44:$E$99,2,FALSE)),0,(VLOOKUP(C133,'2. VOS DONNEES'!$D$44:$E$99,2,FALSE)))</f>
        <v>0</v>
      </c>
    </row>
    <row r="134" spans="3:10" x14ac:dyDescent="0.25">
      <c r="C134" s="33" t="s">
        <v>716</v>
      </c>
      <c r="D134" s="33">
        <v>4</v>
      </c>
      <c r="E134" s="891">
        <f>IF(ISNA(VLOOKUP(C134,'2. VOS DONNEES'!$D$44:$E$99,2,FALSE)),0,(VLOOKUP(C134,'2. VOS DONNEES'!$D$44:$E$99,2,FALSE)))</f>
        <v>0</v>
      </c>
    </row>
    <row r="135" spans="3:10" x14ac:dyDescent="0.25">
      <c r="C135" s="33" t="s">
        <v>717</v>
      </c>
      <c r="D135" s="33">
        <v>4</v>
      </c>
      <c r="E135" s="891">
        <f>IF(ISNA(VLOOKUP(C135,'2. VOS DONNEES'!$D$44:$E$99,2,FALSE)),0,(VLOOKUP(C135,'2. VOS DONNEES'!$D$44:$E$99,2,FALSE)))</f>
        <v>0</v>
      </c>
    </row>
    <row r="136" spans="3:10" x14ac:dyDescent="0.25">
      <c r="C136" s="33" t="s">
        <v>718</v>
      </c>
      <c r="D136" s="33">
        <v>4</v>
      </c>
      <c r="E136" s="891">
        <f>IF(ISNA(VLOOKUP(C136,'2. VOS DONNEES'!$D$44:$E$99,2,FALSE)),0,(VLOOKUP(C136,'2. VOS DONNEES'!$D$44:$E$99,2,FALSE)))</f>
        <v>0</v>
      </c>
    </row>
    <row r="137" spans="3:10" x14ac:dyDescent="0.25">
      <c r="C137" s="33" t="s">
        <v>719</v>
      </c>
      <c r="D137" s="33">
        <v>4</v>
      </c>
      <c r="E137" s="891">
        <f>IF(ISNA(VLOOKUP(C137,'2. VOS DONNEES'!$D$44:$E$99,2,FALSE)),0,(VLOOKUP(C137,'2. VOS DONNEES'!$D$44:$E$99,2,FALSE)))</f>
        <v>0</v>
      </c>
    </row>
    <row r="138" spans="3:10" x14ac:dyDescent="0.25">
      <c r="C138" s="33" t="s">
        <v>720</v>
      </c>
      <c r="D138" s="33">
        <v>4</v>
      </c>
      <c r="E138" s="891">
        <f>IF(ISNA(VLOOKUP(C138,'2. VOS DONNEES'!$D$44:$E$99,2,FALSE)),0,(VLOOKUP(C138,'2. VOS DONNEES'!$D$44:$E$99,2,FALSE)))</f>
        <v>0</v>
      </c>
    </row>
    <row r="139" spans="3:10" x14ac:dyDescent="0.25">
      <c r="C139" s="33" t="s">
        <v>721</v>
      </c>
      <c r="D139" s="33">
        <v>4</v>
      </c>
      <c r="E139" s="891">
        <f>IF(ISNA(VLOOKUP(C139,'2. VOS DONNEES'!$D$44:$E$99,2,FALSE)),0,(VLOOKUP(C139,'2. VOS DONNEES'!$D$44:$E$99,2,FALSE)))</f>
        <v>0</v>
      </c>
    </row>
    <row r="140" spans="3:10" x14ac:dyDescent="0.25">
      <c r="C140" s="33" t="s">
        <v>722</v>
      </c>
      <c r="D140" s="33">
        <v>4</v>
      </c>
      <c r="E140" s="891">
        <f>IF(ISNA(VLOOKUP(C140,'2. VOS DONNEES'!$D$44:$E$99,2,FALSE)),0,(VLOOKUP(C140,'2. VOS DONNEES'!$D$44:$E$99,2,FALSE)))</f>
        <v>0</v>
      </c>
    </row>
    <row r="141" spans="3:10" x14ac:dyDescent="0.25">
      <c r="C141" s="33" t="s">
        <v>723</v>
      </c>
      <c r="D141" s="33">
        <v>4</v>
      </c>
      <c r="E141" s="891">
        <f>IF(ISNA(VLOOKUP(C141,'2. VOS DONNEES'!$D$44:$E$99,2,FALSE)),0,(VLOOKUP(C141,'2. VOS DONNEES'!$D$44:$E$99,2,FALSE)))</f>
        <v>0</v>
      </c>
      <c r="J141" s="1149"/>
    </row>
    <row r="142" spans="3:10" x14ac:dyDescent="0.25">
      <c r="C142" s="33" t="s">
        <v>724</v>
      </c>
      <c r="D142" s="33">
        <v>4</v>
      </c>
      <c r="E142" s="891">
        <f>IF(ISNA(VLOOKUP(C142,'2. VOS DONNEES'!$D$44:$E$99,2,FALSE)),0,(VLOOKUP(C142,'2. VOS DONNEES'!$D$44:$E$99,2,FALSE)))</f>
        <v>0</v>
      </c>
    </row>
    <row r="143" spans="3:10" x14ac:dyDescent="0.25">
      <c r="C143" s="33" t="s">
        <v>725</v>
      </c>
      <c r="D143" s="33">
        <v>4</v>
      </c>
      <c r="E143" s="891">
        <f>IF(ISNA(VLOOKUP(C143,'2. VOS DONNEES'!$D$44:$E$99,2,FALSE)),0,(VLOOKUP(C143,'2. VOS DONNEES'!$D$44:$E$99,2,FALSE)))</f>
        <v>0</v>
      </c>
    </row>
    <row r="144" spans="3:10" x14ac:dyDescent="0.25">
      <c r="C144" s="33" t="s">
        <v>726</v>
      </c>
      <c r="D144" s="33">
        <v>4</v>
      </c>
      <c r="E144" s="891">
        <f>IF(ISNA(VLOOKUP(C144,'2. VOS DONNEES'!$D$44:$E$99,2,FALSE)),0,(VLOOKUP(C144,'2. VOS DONNEES'!$D$44:$E$99,2,FALSE)))</f>
        <v>0</v>
      </c>
    </row>
    <row r="145" spans="3:5" x14ac:dyDescent="0.25">
      <c r="C145" s="33" t="s">
        <v>727</v>
      </c>
      <c r="D145" s="33">
        <v>4</v>
      </c>
      <c r="E145" s="891">
        <f>IF(ISNA(VLOOKUP(C145,'2. VOS DONNEES'!$D$44:$E$99,2,FALSE)),0,(VLOOKUP(C145,'2. VOS DONNEES'!$D$44:$E$99,2,FALSE)))</f>
        <v>0</v>
      </c>
    </row>
    <row r="146" spans="3:5" x14ac:dyDescent="0.25">
      <c r="C146" s="33" t="s">
        <v>728</v>
      </c>
      <c r="D146" s="33">
        <v>4</v>
      </c>
      <c r="E146" s="891">
        <f>IF(ISNA(VLOOKUP(C146,'2. VOS DONNEES'!$D$44:$E$99,2,FALSE)),0,(VLOOKUP(C146,'2. VOS DONNEES'!$D$44:$E$99,2,FALSE)))</f>
        <v>0</v>
      </c>
    </row>
    <row r="147" spans="3:5" x14ac:dyDescent="0.25">
      <c r="C147" s="33" t="s">
        <v>729</v>
      </c>
      <c r="D147" s="33">
        <v>4</v>
      </c>
      <c r="E147" s="891">
        <f>IF(ISNA(VLOOKUP(C147,'2. VOS DONNEES'!$D$44:$E$99,2,FALSE)),0,(VLOOKUP(C147,'2. VOS DONNEES'!$D$44:$E$99,2,FALSE)))</f>
        <v>0</v>
      </c>
    </row>
    <row r="148" spans="3:5" x14ac:dyDescent="0.25">
      <c r="C148" s="33" t="s">
        <v>730</v>
      </c>
      <c r="D148" s="33">
        <v>4</v>
      </c>
      <c r="E148" s="891">
        <f>IF(ISNA(VLOOKUP(C148,'2. VOS DONNEES'!$D$44:$E$99,2,FALSE)),0,(VLOOKUP(C148,'2. VOS DONNEES'!$D$44:$E$99,2,FALSE)))</f>
        <v>0</v>
      </c>
    </row>
    <row r="149" spans="3:5" x14ac:dyDescent="0.25">
      <c r="C149" s="33" t="s">
        <v>731</v>
      </c>
      <c r="D149" s="33">
        <v>4</v>
      </c>
      <c r="E149" s="891">
        <f>IF(ISNA(VLOOKUP(C149,'2. VOS DONNEES'!$D$44:$E$99,2,FALSE)),0,(VLOOKUP(C149,'2. VOS DONNEES'!$D$44:$E$99,2,FALSE)))</f>
        <v>0</v>
      </c>
    </row>
    <row r="150" spans="3:5" x14ac:dyDescent="0.25">
      <c r="C150" s="33" t="s">
        <v>732</v>
      </c>
      <c r="D150" s="33">
        <v>4</v>
      </c>
      <c r="E150" s="891">
        <f>IF(ISNA(VLOOKUP(C150,'2. VOS DONNEES'!$D$44:$E$99,2,FALSE)),0,(VLOOKUP(C150,'2. VOS DONNEES'!$D$44:$E$99,2,FALSE)))</f>
        <v>0</v>
      </c>
    </row>
    <row r="151" spans="3:5" x14ac:dyDescent="0.25">
      <c r="C151" s="33" t="s">
        <v>733</v>
      </c>
      <c r="D151" s="33">
        <v>4</v>
      </c>
      <c r="E151" s="891">
        <f>IF(ISNA(VLOOKUP(C151,'2. VOS DONNEES'!$D$44:$E$99,2,FALSE)),0,(VLOOKUP(C151,'2. VOS DONNEES'!$D$44:$E$99,2,FALSE)))</f>
        <v>0</v>
      </c>
    </row>
    <row r="152" spans="3:5" x14ac:dyDescent="0.25">
      <c r="C152" s="33" t="s">
        <v>734</v>
      </c>
      <c r="D152" s="33">
        <v>4</v>
      </c>
      <c r="E152" s="891">
        <f>IF(ISNA(VLOOKUP(C152,'2. VOS DONNEES'!$D$44:$E$99,2,FALSE)),0,(VLOOKUP(C152,'2. VOS DONNEES'!$D$44:$E$99,2,FALSE)))</f>
        <v>0</v>
      </c>
    </row>
    <row r="153" spans="3:5" x14ac:dyDescent="0.25">
      <c r="C153" s="33" t="s">
        <v>735</v>
      </c>
      <c r="D153" s="33">
        <v>4</v>
      </c>
      <c r="E153" s="891">
        <f>IF(ISNA(VLOOKUP(C153,'2. VOS DONNEES'!$D$44:$E$99,2,FALSE)),0,(VLOOKUP(C153,'2. VOS DONNEES'!$D$44:$E$99,2,FALSE)))</f>
        <v>0</v>
      </c>
    </row>
    <row r="154" spans="3:5" x14ac:dyDescent="0.25">
      <c r="C154" s="33" t="s">
        <v>736</v>
      </c>
      <c r="D154" s="33">
        <v>4</v>
      </c>
      <c r="E154" s="891">
        <f>IF(ISNA(VLOOKUP(C154,'2. VOS DONNEES'!$D$44:$E$99,2,FALSE)),0,(VLOOKUP(C154,'2. VOS DONNEES'!$D$44:$E$99,2,FALSE)))</f>
        <v>0</v>
      </c>
    </row>
    <row r="155" spans="3:5" x14ac:dyDescent="0.25">
      <c r="C155" s="33" t="s">
        <v>737</v>
      </c>
      <c r="D155" s="33">
        <v>4</v>
      </c>
      <c r="E155" s="891">
        <f>IF(ISNA(VLOOKUP(C155,'2. VOS DONNEES'!$D$44:$E$99,2,FALSE)),0,(VLOOKUP(C155,'2. VOS DONNEES'!$D$44:$E$99,2,FALSE)))</f>
        <v>0</v>
      </c>
    </row>
    <row r="156" spans="3:5" x14ac:dyDescent="0.25">
      <c r="C156" s="33" t="s">
        <v>738</v>
      </c>
      <c r="D156" s="33">
        <v>4</v>
      </c>
      <c r="E156" s="891">
        <f>IF(ISNA(VLOOKUP(C156,'2. VOS DONNEES'!$D$44:$E$99,2,FALSE)),0,(VLOOKUP(C156,'2. VOS DONNEES'!$D$44:$E$99,2,FALSE)))</f>
        <v>0</v>
      </c>
    </row>
    <row r="157" spans="3:5" x14ac:dyDescent="0.25">
      <c r="C157" s="33" t="s">
        <v>739</v>
      </c>
      <c r="D157" s="33">
        <v>4</v>
      </c>
      <c r="E157" s="891">
        <f>IF(ISNA(VLOOKUP(C157,'2. VOS DONNEES'!$D$44:$E$99,2,FALSE)),0,(VLOOKUP(C157,'2. VOS DONNEES'!$D$44:$E$99,2,FALSE)))</f>
        <v>0</v>
      </c>
    </row>
    <row r="158" spans="3:5" x14ac:dyDescent="0.25">
      <c r="C158" s="33" t="s">
        <v>740</v>
      </c>
      <c r="D158" s="33">
        <v>4</v>
      </c>
      <c r="E158" s="891">
        <f>IF(ISNA(VLOOKUP(C158,'2. VOS DONNEES'!$D$44:$E$99,2,FALSE)),0,(VLOOKUP(C158,'2. VOS DONNEES'!$D$44:$E$99,2,FALSE)))</f>
        <v>0</v>
      </c>
    </row>
    <row r="159" spans="3:5" x14ac:dyDescent="0.25">
      <c r="C159" s="33" t="s">
        <v>741</v>
      </c>
      <c r="D159" s="33">
        <v>4</v>
      </c>
      <c r="E159" s="891">
        <f>IF(ISNA(VLOOKUP(C159,'2. VOS DONNEES'!$D$44:$E$99,2,FALSE)),0,(VLOOKUP(C159,'2. VOS DONNEES'!$D$44:$E$99,2,FALSE)))</f>
        <v>0</v>
      </c>
    </row>
    <row r="160" spans="3:5" x14ac:dyDescent="0.25">
      <c r="C160" s="33" t="s">
        <v>742</v>
      </c>
      <c r="D160" s="33">
        <v>4</v>
      </c>
      <c r="E160" s="891">
        <f>IF(ISNA(VLOOKUP(C160,'2. VOS DONNEES'!$D$44:$E$99,2,FALSE)),0,(VLOOKUP(C160,'2. VOS DONNEES'!$D$44:$E$99,2,FALSE)))</f>
        <v>0</v>
      </c>
    </row>
    <row r="161" spans="3:5" x14ac:dyDescent="0.25">
      <c r="C161" s="33" t="s">
        <v>743</v>
      </c>
      <c r="D161" s="33">
        <v>4</v>
      </c>
      <c r="E161" s="891">
        <f>IF(ISNA(VLOOKUP(C161,'2. VOS DONNEES'!$D$44:$E$99,2,FALSE)),0,(VLOOKUP(C161,'2. VOS DONNEES'!$D$44:$E$99,2,FALSE)))</f>
        <v>0</v>
      </c>
    </row>
    <row r="162" spans="3:5" x14ac:dyDescent="0.25">
      <c r="C162" s="33" t="s">
        <v>744</v>
      </c>
      <c r="D162" s="33">
        <v>4</v>
      </c>
      <c r="E162" s="891">
        <f>IF(ISNA(VLOOKUP(C162,'2. VOS DONNEES'!$D$44:$E$99,2,FALSE)),0,(VLOOKUP(C162,'2. VOS DONNEES'!$D$44:$E$99,2,FALSE)))</f>
        <v>0</v>
      </c>
    </row>
    <row r="163" spans="3:5" x14ac:dyDescent="0.25">
      <c r="C163" s="33" t="s">
        <v>745</v>
      </c>
      <c r="D163" s="33">
        <v>4</v>
      </c>
      <c r="E163" s="891">
        <f>IF(ISNA(VLOOKUP(C163,'2. VOS DONNEES'!$D$44:$E$99,2,FALSE)),0,(VLOOKUP(C163,'2. VOS DONNEES'!$D$44:$E$99,2,FALSE)))</f>
        <v>0</v>
      </c>
    </row>
    <row r="164" spans="3:5" x14ac:dyDescent="0.25">
      <c r="C164" s="33" t="s">
        <v>746</v>
      </c>
      <c r="D164" s="33">
        <v>4</v>
      </c>
      <c r="E164" s="891">
        <f>IF(ISNA(VLOOKUP(C164,'2. VOS DONNEES'!$D$44:$E$99,2,FALSE)),0,(VLOOKUP(C164,'2. VOS DONNEES'!$D$44:$E$99,2,FALSE)))</f>
        <v>0</v>
      </c>
    </row>
    <row r="165" spans="3:5" x14ac:dyDescent="0.25">
      <c r="C165" s="33" t="s">
        <v>747</v>
      </c>
      <c r="D165" s="33">
        <v>4</v>
      </c>
      <c r="E165" s="891">
        <f>IF(ISNA(VLOOKUP(C165,'2. VOS DONNEES'!$D$44:$E$99,2,FALSE)),0,(VLOOKUP(C165,'2. VOS DONNEES'!$D$44:$E$99,2,FALSE)))</f>
        <v>0</v>
      </c>
    </row>
    <row r="166" spans="3:5" x14ac:dyDescent="0.25">
      <c r="C166" s="33" t="s">
        <v>748</v>
      </c>
      <c r="D166" s="33">
        <v>4</v>
      </c>
      <c r="E166" s="891">
        <f>IF(ISNA(VLOOKUP(C166,'2. VOS DONNEES'!$D$44:$E$99,2,FALSE)),0,(VLOOKUP(C166,'2. VOS DONNEES'!$D$44:$E$99,2,FALSE)))</f>
        <v>0</v>
      </c>
    </row>
    <row r="167" spans="3:5" x14ac:dyDescent="0.25">
      <c r="C167" s="33" t="s">
        <v>749</v>
      </c>
      <c r="D167" s="33">
        <v>4</v>
      </c>
      <c r="E167" s="891">
        <f>IF(ISNA(VLOOKUP(C167,'2. VOS DONNEES'!$D$44:$E$99,2,FALSE)),0,(VLOOKUP(C167,'2. VOS DONNEES'!$D$44:$E$99,2,FALSE)))</f>
        <v>0</v>
      </c>
    </row>
    <row r="168" spans="3:5" x14ac:dyDescent="0.25">
      <c r="C168" s="33" t="s">
        <v>750</v>
      </c>
      <c r="D168" s="33">
        <v>4</v>
      </c>
      <c r="E168" s="891">
        <f>IF(ISNA(VLOOKUP(C168,'2. VOS DONNEES'!$D$44:$E$99,2,FALSE)),0,(VLOOKUP(C168,'2. VOS DONNEES'!$D$44:$E$99,2,FALSE)))</f>
        <v>0</v>
      </c>
    </row>
    <row r="169" spans="3:5" x14ac:dyDescent="0.25">
      <c r="C169" s="33" t="s">
        <v>751</v>
      </c>
      <c r="D169" s="33">
        <v>4</v>
      </c>
      <c r="E169" s="891">
        <f>IF(ISNA(VLOOKUP(C169,'2. VOS DONNEES'!$D$44:$E$99,2,FALSE)),0,(VLOOKUP(C169,'2. VOS DONNEES'!$D$44:$E$99,2,FALSE)))</f>
        <v>0</v>
      </c>
    </row>
    <row r="170" spans="3:5" x14ac:dyDescent="0.25">
      <c r="C170" s="33" t="s">
        <v>752</v>
      </c>
      <c r="D170" s="33">
        <v>4</v>
      </c>
      <c r="E170" s="891">
        <f>IF(ISNA(VLOOKUP(C170,'2. VOS DONNEES'!$D$44:$E$99,2,FALSE)),0,(VLOOKUP(C170,'2. VOS DONNEES'!$D$44:$E$99,2,FALSE)))</f>
        <v>0</v>
      </c>
    </row>
    <row r="171" spans="3:5" x14ac:dyDescent="0.25">
      <c r="C171" s="33" t="s">
        <v>753</v>
      </c>
      <c r="D171" s="33">
        <v>4</v>
      </c>
      <c r="E171" s="891">
        <f>IF(ISNA(VLOOKUP(C171,'2. VOS DONNEES'!$D$44:$E$99,2,FALSE)),0,(VLOOKUP(C171,'2. VOS DONNEES'!$D$44:$E$99,2,FALSE)))</f>
        <v>0</v>
      </c>
    </row>
    <row r="172" spans="3:5" x14ac:dyDescent="0.25">
      <c r="C172" s="33" t="s">
        <v>754</v>
      </c>
      <c r="D172" s="33">
        <v>4</v>
      </c>
      <c r="E172" s="891">
        <f>IF(ISNA(VLOOKUP(C172,'2. VOS DONNEES'!$D$44:$E$99,2,FALSE)),0,(VLOOKUP(C172,'2. VOS DONNEES'!$D$44:$E$99,2,FALSE)))</f>
        <v>0</v>
      </c>
    </row>
    <row r="173" spans="3:5" x14ac:dyDescent="0.25">
      <c r="C173" s="33" t="s">
        <v>755</v>
      </c>
      <c r="D173" s="33">
        <v>4</v>
      </c>
      <c r="E173" s="891">
        <f>IF(ISNA(VLOOKUP(C173,'2. VOS DONNEES'!$D$44:$E$99,2,FALSE)),0,(VLOOKUP(C173,'2. VOS DONNEES'!$D$44:$E$99,2,FALSE)))</f>
        <v>0</v>
      </c>
    </row>
    <row r="174" spans="3:5" x14ac:dyDescent="0.25">
      <c r="C174" s="33" t="s">
        <v>756</v>
      </c>
      <c r="D174" s="33">
        <v>4</v>
      </c>
      <c r="E174" s="891">
        <f>IF(ISNA(VLOOKUP(C174,'2. VOS DONNEES'!$D$44:$E$99,2,FALSE)),0,(VLOOKUP(C174,'2. VOS DONNEES'!$D$44:$E$99,2,FALSE)))</f>
        <v>0</v>
      </c>
    </row>
    <row r="175" spans="3:5" x14ac:dyDescent="0.25">
      <c r="C175" s="33" t="s">
        <v>757</v>
      </c>
      <c r="D175" s="33">
        <v>4</v>
      </c>
      <c r="E175" s="891">
        <f>IF(ISNA(VLOOKUP(C175,'2. VOS DONNEES'!$D$44:$E$99,2,FALSE)),0,(VLOOKUP(C175,'2. VOS DONNEES'!$D$44:$E$99,2,FALSE)))</f>
        <v>0</v>
      </c>
    </row>
    <row r="176" spans="3:5" x14ac:dyDescent="0.25">
      <c r="C176" s="33" t="s">
        <v>758</v>
      </c>
      <c r="D176" s="33">
        <v>4</v>
      </c>
      <c r="E176" s="891">
        <f>IF(ISNA(VLOOKUP(C176,'2. VOS DONNEES'!$D$44:$E$99,2,FALSE)),0,(VLOOKUP(C176,'2. VOS DONNEES'!$D$44:$E$99,2,FALSE)))</f>
        <v>0</v>
      </c>
    </row>
    <row r="177" spans="3:5" x14ac:dyDescent="0.25">
      <c r="C177" s="33" t="s">
        <v>759</v>
      </c>
      <c r="D177" s="33">
        <v>4</v>
      </c>
      <c r="E177" s="891">
        <f>IF(ISNA(VLOOKUP(C177,'2. VOS DONNEES'!$D$44:$E$99,2,FALSE)),0,(VLOOKUP(C177,'2. VOS DONNEES'!$D$44:$E$99,2,FALSE)))</f>
        <v>0</v>
      </c>
    </row>
    <row r="178" spans="3:5" x14ac:dyDescent="0.25">
      <c r="C178" s="33" t="s">
        <v>122</v>
      </c>
      <c r="D178" s="33">
        <v>5</v>
      </c>
      <c r="E178" s="891">
        <f>IF(ISNA(VLOOKUP(C178,'2. VOS DONNEES'!$D$44:$E$99,2,FALSE)),0,(VLOOKUP(C178,'2. VOS DONNEES'!$D$44:$E$99,2,FALSE)))</f>
        <v>0</v>
      </c>
    </row>
    <row r="179" spans="3:5" x14ac:dyDescent="0.25">
      <c r="C179" s="33" t="s">
        <v>760</v>
      </c>
      <c r="D179" s="33">
        <v>4</v>
      </c>
      <c r="E179" s="891">
        <f>IF(ISNA(VLOOKUP(C179,'2. VOS DONNEES'!$D$44:$E$99,2,FALSE)),0,(VLOOKUP(C179,'2. VOS DONNEES'!$D$44:$E$99,2,FALSE)))</f>
        <v>0</v>
      </c>
    </row>
    <row r="180" spans="3:5" x14ac:dyDescent="0.25">
      <c r="C180" s="33" t="s">
        <v>761</v>
      </c>
      <c r="D180" s="33">
        <v>4</v>
      </c>
      <c r="E180" s="891">
        <f>IF(ISNA(VLOOKUP(C180,'2. VOS DONNEES'!$D$44:$E$99,2,FALSE)),0,(VLOOKUP(C180,'2. VOS DONNEES'!$D$44:$E$99,2,FALSE)))</f>
        <v>0</v>
      </c>
    </row>
    <row r="181" spans="3:5" x14ac:dyDescent="0.25">
      <c r="C181" s="33" t="s">
        <v>762</v>
      </c>
      <c r="D181" s="33">
        <v>4</v>
      </c>
      <c r="E181" s="891">
        <f>IF(ISNA(VLOOKUP(C181,'2. VOS DONNEES'!$D$44:$E$99,2,FALSE)),0,(VLOOKUP(C181,'2. VOS DONNEES'!$D$44:$E$99,2,FALSE)))</f>
        <v>0</v>
      </c>
    </row>
    <row r="182" spans="3:5" x14ac:dyDescent="0.25">
      <c r="C182" s="33" t="s">
        <v>763</v>
      </c>
      <c r="D182" s="33">
        <v>4</v>
      </c>
      <c r="E182" s="891">
        <f>IF(ISNA(VLOOKUP(C182,'2. VOS DONNEES'!$D$44:$E$99,2,FALSE)),0,(VLOOKUP(C182,'2. VOS DONNEES'!$D$44:$E$99,2,FALSE)))</f>
        <v>0</v>
      </c>
    </row>
    <row r="183" spans="3:5" x14ac:dyDescent="0.25">
      <c r="C183" s="33" t="s">
        <v>764</v>
      </c>
      <c r="D183" s="33">
        <v>4</v>
      </c>
      <c r="E183" s="891">
        <f>IF(ISNA(VLOOKUP(C183,'2. VOS DONNEES'!$D$44:$E$99,2,FALSE)),0,(VLOOKUP(C183,'2. VOS DONNEES'!$D$44:$E$99,2,FALSE)))</f>
        <v>0</v>
      </c>
    </row>
    <row r="184" spans="3:5" x14ac:dyDescent="0.25">
      <c r="C184" s="33" t="s">
        <v>113</v>
      </c>
      <c r="D184" s="33">
        <v>3</v>
      </c>
      <c r="E184" s="891">
        <f>IF(ISNA(VLOOKUP(C184,'2. VOS DONNEES'!$D$44:$E$99,2,FALSE)),0,(VLOOKUP(C184,'2. VOS DONNEES'!$D$44:$E$99,2,FALSE)))</f>
        <v>0</v>
      </c>
    </row>
    <row r="185" spans="3:5" x14ac:dyDescent="0.25">
      <c r="C185" s="33" t="s">
        <v>649</v>
      </c>
      <c r="D185" s="33">
        <v>3</v>
      </c>
      <c r="E185" s="891">
        <f>IF(ISNA(VLOOKUP(C185,'2. VOS DONNEES'!$D$44:$E$99,2,FALSE)),0,(VLOOKUP(C185,'2. VOS DONNEES'!$D$44:$E$99,2,FALSE)))</f>
        <v>0</v>
      </c>
    </row>
    <row r="186" spans="3:5" x14ac:dyDescent="0.25">
      <c r="C186" s="33" t="s">
        <v>765</v>
      </c>
      <c r="D186" s="33">
        <v>4</v>
      </c>
      <c r="E186" s="891">
        <f>IF(ISNA(VLOOKUP(C186,'2. VOS DONNEES'!$D$44:$E$99,2,FALSE)),0,(VLOOKUP(C186,'2. VOS DONNEES'!$D$44:$E$99,2,FALSE)))</f>
        <v>0</v>
      </c>
    </row>
    <row r="187" spans="3:5" x14ac:dyDescent="0.25">
      <c r="C187" s="33" t="s">
        <v>766</v>
      </c>
      <c r="D187" s="33">
        <v>4</v>
      </c>
      <c r="E187" s="891">
        <f>IF(ISNA(VLOOKUP(C187,'2. VOS DONNEES'!$D$44:$E$99,2,FALSE)),0,(VLOOKUP(C187,'2. VOS DONNEES'!$D$44:$E$99,2,FALSE)))</f>
        <v>0</v>
      </c>
    </row>
    <row r="188" spans="3:5" x14ac:dyDescent="0.25">
      <c r="C188" s="33" t="s">
        <v>767</v>
      </c>
      <c r="D188" s="33">
        <v>3</v>
      </c>
      <c r="E188" s="891">
        <f>IF(ISNA(VLOOKUP(C188,'2. VOS DONNEES'!$D$44:$E$99,2,FALSE)),0,(VLOOKUP(C188,'2. VOS DONNEES'!$D$44:$E$99,2,FALSE)))</f>
        <v>0</v>
      </c>
    </row>
    <row r="189" spans="3:5" x14ac:dyDescent="0.25">
      <c r="C189" s="33" t="s">
        <v>768</v>
      </c>
      <c r="D189" s="33">
        <v>3</v>
      </c>
      <c r="E189" s="891">
        <f>IF(ISNA(VLOOKUP(C189,'2. VOS DONNEES'!$D$44:$E$99,2,FALSE)),0,(VLOOKUP(C189,'2. VOS DONNEES'!$D$44:$E$99,2,FALSE)))</f>
        <v>0</v>
      </c>
    </row>
    <row r="190" spans="3:5" x14ac:dyDescent="0.25">
      <c r="C190" s="33" t="s">
        <v>769</v>
      </c>
      <c r="D190" s="33">
        <v>3</v>
      </c>
      <c r="E190" s="891">
        <f>IF(ISNA(VLOOKUP(C190,'2. VOS DONNEES'!$D$44:$E$99,2,FALSE)),0,(VLOOKUP(C190,'2. VOS DONNEES'!$D$44:$E$99,2,FALSE)))</f>
        <v>0</v>
      </c>
    </row>
    <row r="191" spans="3:5" x14ac:dyDescent="0.25">
      <c r="C191" s="33" t="s">
        <v>770</v>
      </c>
      <c r="D191" s="33">
        <v>3</v>
      </c>
      <c r="E191" s="891">
        <f>IF(ISNA(VLOOKUP(C191,'2. VOS DONNEES'!$D$44:$E$99,2,FALSE)),0,(VLOOKUP(C191,'2. VOS DONNEES'!$D$44:$E$99,2,FALSE)))</f>
        <v>0</v>
      </c>
    </row>
    <row r="192" spans="3:5" x14ac:dyDescent="0.25">
      <c r="C192" s="33" t="s">
        <v>771</v>
      </c>
      <c r="D192" s="33">
        <v>3</v>
      </c>
      <c r="E192" s="891">
        <f>IF(ISNA(VLOOKUP(C192,'2. VOS DONNEES'!$D$44:$E$99,2,FALSE)),0,(VLOOKUP(C192,'2. VOS DONNEES'!$D$44:$E$99,2,FALSE)))</f>
        <v>0</v>
      </c>
    </row>
    <row r="193" spans="3:5" x14ac:dyDescent="0.25">
      <c r="C193" s="33" t="s">
        <v>772</v>
      </c>
      <c r="D193" s="33">
        <v>3</v>
      </c>
      <c r="E193" s="891">
        <f>IF(ISNA(VLOOKUP(C193,'2. VOS DONNEES'!$D$44:$E$99,2,FALSE)),0,(VLOOKUP(C193,'2. VOS DONNEES'!$D$44:$E$99,2,FALSE)))</f>
        <v>0</v>
      </c>
    </row>
    <row r="194" spans="3:5" x14ac:dyDescent="0.25">
      <c r="C194" s="33" t="s">
        <v>773</v>
      </c>
      <c r="D194" s="33">
        <v>3</v>
      </c>
      <c r="E194" s="891">
        <f>IF(ISNA(VLOOKUP(C194,'2. VOS DONNEES'!$D$44:$E$99,2,FALSE)),0,(VLOOKUP(C194,'2. VOS DONNEES'!$D$44:$E$99,2,FALSE)))</f>
        <v>0</v>
      </c>
    </row>
    <row r="195" spans="3:5" x14ac:dyDescent="0.25">
      <c r="C195" s="33" t="s">
        <v>774</v>
      </c>
      <c r="D195" s="33">
        <v>3</v>
      </c>
      <c r="E195" s="891">
        <f>IF(ISNA(VLOOKUP(C195,'2. VOS DONNEES'!$D$44:$E$99,2,FALSE)),0,(VLOOKUP(C195,'2. VOS DONNEES'!$D$44:$E$99,2,FALSE)))</f>
        <v>0</v>
      </c>
    </row>
    <row r="196" spans="3:5" x14ac:dyDescent="0.25">
      <c r="C196" s="33" t="s">
        <v>775</v>
      </c>
      <c r="D196" s="33">
        <v>3</v>
      </c>
      <c r="E196" s="891">
        <f>IF(ISNA(VLOOKUP(C196,'2. VOS DONNEES'!$D$44:$E$99,2,FALSE)),0,(VLOOKUP(C196,'2. VOS DONNEES'!$D$44:$E$99,2,FALSE)))</f>
        <v>0</v>
      </c>
    </row>
    <row r="197" spans="3:5" x14ac:dyDescent="0.25">
      <c r="C197" s="33" t="s">
        <v>776</v>
      </c>
      <c r="D197" s="33">
        <v>3</v>
      </c>
      <c r="E197" s="891">
        <f>IF(ISNA(VLOOKUP(C197,'2. VOS DONNEES'!$D$44:$E$99,2,FALSE)),0,(VLOOKUP(C197,'2. VOS DONNEES'!$D$44:$E$99,2,FALSE)))</f>
        <v>0</v>
      </c>
    </row>
    <row r="198" spans="3:5" x14ac:dyDescent="0.25">
      <c r="C198" s="33" t="s">
        <v>777</v>
      </c>
      <c r="D198" s="33">
        <v>3</v>
      </c>
      <c r="E198" s="891">
        <f>IF(ISNA(VLOOKUP(C198,'2. VOS DONNEES'!$D$44:$E$99,2,FALSE)),0,(VLOOKUP(C198,'2. VOS DONNEES'!$D$44:$E$99,2,FALSE)))</f>
        <v>0</v>
      </c>
    </row>
    <row r="199" spans="3:5" x14ac:dyDescent="0.25">
      <c r="C199" s="33" t="s">
        <v>778</v>
      </c>
      <c r="D199" s="33">
        <v>3</v>
      </c>
      <c r="E199" s="891">
        <f>IF(ISNA(VLOOKUP(C199,'2. VOS DONNEES'!$D$44:$E$99,2,FALSE)),0,(VLOOKUP(C199,'2. VOS DONNEES'!$D$44:$E$99,2,FALSE)))</f>
        <v>0</v>
      </c>
    </row>
    <row r="200" spans="3:5" x14ac:dyDescent="0.25">
      <c r="C200" s="33" t="s">
        <v>779</v>
      </c>
      <c r="D200" s="33">
        <v>3</v>
      </c>
      <c r="E200" s="891">
        <f>IF(ISNA(VLOOKUP(C200,'2. VOS DONNEES'!$D$44:$E$99,2,FALSE)),0,(VLOOKUP(C200,'2. VOS DONNEES'!$D$44:$E$99,2,FALSE)))</f>
        <v>0</v>
      </c>
    </row>
    <row r="201" spans="3:5" x14ac:dyDescent="0.25">
      <c r="C201" s="33" t="s">
        <v>780</v>
      </c>
      <c r="D201" s="33">
        <v>3</v>
      </c>
      <c r="E201" s="891">
        <f>IF(ISNA(VLOOKUP(C201,'2. VOS DONNEES'!$D$44:$E$99,2,FALSE)),0,(VLOOKUP(C201,'2. VOS DONNEES'!$D$44:$E$99,2,FALSE)))</f>
        <v>0</v>
      </c>
    </row>
    <row r="202" spans="3:5" x14ac:dyDescent="0.25">
      <c r="C202" s="100" t="s">
        <v>106</v>
      </c>
      <c r="D202" s="33">
        <v>1</v>
      </c>
      <c r="E202" s="891">
        <f>IF(ISNA(VLOOKUP(C202,'2. VOS DONNEES'!$D$44:$E$99,2,FALSE)),0,(VLOOKUP(C202,'2. VOS DONNEES'!$D$44:$E$99,2,FALSE)))</f>
        <v>0</v>
      </c>
    </row>
    <row r="203" spans="3:5" x14ac:dyDescent="0.25">
      <c r="C203" s="100" t="s">
        <v>107</v>
      </c>
      <c r="D203" s="33">
        <v>1</v>
      </c>
      <c r="E203" s="891">
        <f>IF(ISNA(VLOOKUP(C203,'2. VOS DONNEES'!$D$44:$E$99,2,FALSE)),0,(VLOOKUP(C203,'2. VOS DONNEES'!$D$44:$E$99,2,FALSE)))</f>
        <v>0</v>
      </c>
    </row>
    <row r="204" spans="3:5" x14ac:dyDescent="0.25">
      <c r="C204" s="33" t="s">
        <v>781</v>
      </c>
      <c r="D204" s="33">
        <v>2</v>
      </c>
      <c r="E204" s="891">
        <f>IF(ISNA(VLOOKUP(C204,'2. VOS DONNEES'!$D$44:$E$99,2,FALSE)),0,(VLOOKUP(C204,'2. VOS DONNEES'!$D$44:$E$99,2,FALSE)))</f>
        <v>0</v>
      </c>
    </row>
    <row r="205" spans="3:5" x14ac:dyDescent="0.25">
      <c r="C205" s="33" t="s">
        <v>782</v>
      </c>
      <c r="D205" s="33">
        <v>2</v>
      </c>
      <c r="E205" s="891">
        <f>IF(ISNA(VLOOKUP(C205,'2. VOS DONNEES'!$D$44:$E$99,2,FALSE)),0,(VLOOKUP(C205,'2. VOS DONNEES'!$D$44:$E$99,2,FALSE)))</f>
        <v>0</v>
      </c>
    </row>
    <row r="206" spans="3:5" x14ac:dyDescent="0.25">
      <c r="C206" s="100" t="s">
        <v>108</v>
      </c>
      <c r="D206" s="33">
        <v>2</v>
      </c>
      <c r="E206" s="891">
        <f>IF(ISNA(VLOOKUP(C206,'2. VOS DONNEES'!$D$44:$E$99,2,FALSE)),0,(VLOOKUP(C206,'2. VOS DONNEES'!$D$44:$E$99,2,FALSE)))</f>
        <v>0</v>
      </c>
    </row>
    <row r="207" spans="3:5" x14ac:dyDescent="0.25">
      <c r="C207" s="100" t="s">
        <v>644</v>
      </c>
      <c r="D207" s="33">
        <v>2</v>
      </c>
      <c r="E207" s="891">
        <f>IF(ISNA(VLOOKUP(C207,'2. VOS DONNEES'!$D$44:$E$99,2,FALSE)),0,(VLOOKUP(C207,'2. VOS DONNEES'!$D$44:$E$99,2,FALSE)))</f>
        <v>0</v>
      </c>
    </row>
    <row r="208" spans="3:5" x14ac:dyDescent="0.25">
      <c r="C208" s="100" t="s">
        <v>645</v>
      </c>
      <c r="D208" s="33">
        <v>2</v>
      </c>
      <c r="E208" s="891">
        <f>IF(ISNA(VLOOKUP(C208,'2. VOS DONNEES'!$D$44:$E$99,2,FALSE)),0,(VLOOKUP(C208,'2. VOS DONNEES'!$D$44:$E$99,2,FALSE)))</f>
        <v>0</v>
      </c>
    </row>
    <row r="209" spans="3:5" x14ac:dyDescent="0.25">
      <c r="C209" s="896" t="s">
        <v>783</v>
      </c>
      <c r="D209" s="33">
        <v>3</v>
      </c>
      <c r="E209" s="891">
        <f>IF(ISNA(VLOOKUP(C209,'2. VOS DONNEES'!$D$44:$E$99,2,FALSE)),0,(VLOOKUP(C209,'2. VOS DONNEES'!$D$44:$E$99,2,FALSE)))</f>
        <v>0</v>
      </c>
    </row>
    <row r="210" spans="3:5" x14ac:dyDescent="0.25">
      <c r="C210" s="896" t="s">
        <v>784</v>
      </c>
      <c r="D210" s="33">
        <v>3</v>
      </c>
      <c r="E210" s="891">
        <f>IF(ISNA(VLOOKUP(C210,'2. VOS DONNEES'!$D$44:$E$99,2,FALSE)),0,(VLOOKUP(C210,'2. VOS DONNEES'!$D$44:$E$99,2,FALSE)))</f>
        <v>0</v>
      </c>
    </row>
    <row r="211" spans="3:5" x14ac:dyDescent="0.25">
      <c r="C211" s="896" t="s">
        <v>785</v>
      </c>
      <c r="D211" s="33">
        <v>3</v>
      </c>
      <c r="E211" s="891">
        <f>IF(ISNA(VLOOKUP(C211,'2. VOS DONNEES'!$D$44:$E$99,2,FALSE)),0,(VLOOKUP(C211,'2. VOS DONNEES'!$D$44:$E$99,2,FALSE)))</f>
        <v>0</v>
      </c>
    </row>
    <row r="212" spans="3:5" x14ac:dyDescent="0.25">
      <c r="C212" s="896" t="s">
        <v>84</v>
      </c>
      <c r="D212" s="33">
        <v>3</v>
      </c>
      <c r="E212" s="891">
        <f>IF(ISNA(VLOOKUP(C212,'2. VOS DONNEES'!$D$44:$E$99,2,FALSE)),0,(VLOOKUP(C212,'2. VOS DONNEES'!$D$44:$E$99,2,FALSE)))</f>
        <v>0</v>
      </c>
    </row>
    <row r="213" spans="3:5" x14ac:dyDescent="0.25">
      <c r="C213" s="896" t="s">
        <v>786</v>
      </c>
      <c r="D213" s="33">
        <v>3</v>
      </c>
      <c r="E213" s="891">
        <f>IF(ISNA(VLOOKUP(C213,'2. VOS DONNEES'!$D$44:$E$99,2,FALSE)),0,(VLOOKUP(C213,'2. VOS DONNEES'!$D$44:$E$99,2,FALSE)))</f>
        <v>0</v>
      </c>
    </row>
    <row r="214" spans="3:5" x14ac:dyDescent="0.25">
      <c r="C214" s="896" t="s">
        <v>85</v>
      </c>
      <c r="D214" s="33">
        <v>3</v>
      </c>
      <c r="E214" s="891">
        <f>IF(ISNA(VLOOKUP(C214,'2. VOS DONNEES'!$D$44:$E$99,2,FALSE)),0,(VLOOKUP(C214,'2. VOS DONNEES'!$D$44:$E$99,2,FALSE)))</f>
        <v>0</v>
      </c>
    </row>
    <row r="215" spans="3:5" x14ac:dyDescent="0.25">
      <c r="C215" s="896" t="s">
        <v>787</v>
      </c>
      <c r="D215" s="33">
        <v>3</v>
      </c>
      <c r="E215" s="891">
        <f>IF(ISNA(VLOOKUP(C215,'2. VOS DONNEES'!$D$44:$E$99,2,FALSE)),0,(VLOOKUP(C215,'2. VOS DONNEES'!$D$44:$E$99,2,FALSE)))</f>
        <v>0</v>
      </c>
    </row>
    <row r="216" spans="3:5" ht="30" x14ac:dyDescent="0.25">
      <c r="C216" s="1151" t="s">
        <v>86</v>
      </c>
      <c r="D216" s="33">
        <v>3</v>
      </c>
      <c r="E216" s="891">
        <f>IF(ISNA(VLOOKUP(C216,'2. VOS DONNEES'!$D$44:$E$99,2,FALSE)),0,(VLOOKUP(C216,'2. VOS DONNEES'!$D$44:$E$99,2,FALSE)))</f>
        <v>0</v>
      </c>
    </row>
    <row r="217" spans="3:5" ht="30" x14ac:dyDescent="0.25">
      <c r="C217" s="1151" t="s">
        <v>87</v>
      </c>
      <c r="D217" s="33">
        <v>3</v>
      </c>
      <c r="E217" s="891">
        <f>IF(ISNA(VLOOKUP(C217,'2. VOS DONNEES'!$D$44:$E$99,2,FALSE)),0,(VLOOKUP(C217,'2. VOS DONNEES'!$D$44:$E$99,2,FALSE)))</f>
        <v>0</v>
      </c>
    </row>
    <row r="218" spans="3:5" x14ac:dyDescent="0.25">
      <c r="C218" s="896" t="s">
        <v>788</v>
      </c>
      <c r="D218" s="33">
        <v>3</v>
      </c>
      <c r="E218" s="891">
        <f>IF(ISNA(VLOOKUP(C218,'2. VOS DONNEES'!$D$44:$E$99,2,FALSE)),0,(VLOOKUP(C218,'2. VOS DONNEES'!$D$44:$E$99,2,FALSE)))</f>
        <v>0</v>
      </c>
    </row>
    <row r="219" spans="3:5" x14ac:dyDescent="0.25">
      <c r="C219" s="896" t="s">
        <v>789</v>
      </c>
      <c r="D219" s="33">
        <v>3</v>
      </c>
      <c r="E219" s="891">
        <f>IF(ISNA(VLOOKUP(C219,'2. VOS DONNEES'!$D$44:$E$99,2,FALSE)),0,(VLOOKUP(C219,'2. VOS DONNEES'!$D$44:$E$99,2,FALSE)))</f>
        <v>0</v>
      </c>
    </row>
    <row r="220" spans="3:5" x14ac:dyDescent="0.25">
      <c r="C220" s="33" t="s">
        <v>109</v>
      </c>
      <c r="D220" s="33">
        <v>2</v>
      </c>
      <c r="E220" s="891">
        <f>IF(ISNA(VLOOKUP(C220,'2. VOS DONNEES'!$D$44:$E$99,2,FALSE)),0,(VLOOKUP(C220,'2. VOS DONNEES'!$D$44:$E$99,2,FALSE)))</f>
        <v>0</v>
      </c>
    </row>
    <row r="221" spans="3:5" x14ac:dyDescent="0.25">
      <c r="C221" s="1096" t="s">
        <v>79</v>
      </c>
      <c r="D221" s="33">
        <v>2</v>
      </c>
      <c r="E221" s="891">
        <f>IF(ISNA(VLOOKUP(C221,'2. VOS DONNEES'!$D$44:$E$99,2,FALSE)),0,(VLOOKUP(C221,'2. VOS DONNEES'!$D$44:$E$99,2,FALSE)))</f>
        <v>0</v>
      </c>
    </row>
    <row r="222" spans="3:5" x14ac:dyDescent="0.25">
      <c r="C222" s="1096" t="s">
        <v>647</v>
      </c>
      <c r="D222" s="33">
        <v>2</v>
      </c>
      <c r="E222" s="891">
        <f>IF(ISNA(VLOOKUP(C222,'2. VOS DONNEES'!$D$44:$E$99,2,FALSE)),0,(VLOOKUP(C222,'2. VOS DONNEES'!$D$44:$E$99,2,FALSE)))</f>
        <v>0</v>
      </c>
    </row>
    <row r="223" spans="3:5" x14ac:dyDescent="0.25">
      <c r="C223" s="1096" t="s">
        <v>646</v>
      </c>
      <c r="D223" s="33">
        <v>2</v>
      </c>
      <c r="E223" s="891">
        <f>IF(ISNA(VLOOKUP(C223,'2. VOS DONNEES'!$D$44:$E$99,2,FALSE)),0,(VLOOKUP(C223,'2. VOS DONNEES'!$D$44:$E$99,2,FALSE)))</f>
        <v>0</v>
      </c>
    </row>
    <row r="224" spans="3:5" x14ac:dyDescent="0.25">
      <c r="C224" s="1096" t="s">
        <v>648</v>
      </c>
      <c r="D224" s="33">
        <v>2</v>
      </c>
      <c r="E224" s="891">
        <f>IF(ISNA(VLOOKUP(C224,'2. VOS DONNEES'!$D$44:$E$99,2,FALSE)),0,(VLOOKUP(C224,'2. VOS DONNEES'!$D$44:$E$99,2,FALSE)))</f>
        <v>0</v>
      </c>
    </row>
    <row r="225" spans="3:19" x14ac:dyDescent="0.25">
      <c r="C225" s="33" t="s">
        <v>81</v>
      </c>
      <c r="D225" s="33">
        <v>2</v>
      </c>
      <c r="E225" s="891">
        <f>IF(ISNA(VLOOKUP(C225,'2. VOS DONNEES'!$D$44:$E$99,2,FALSE)),0,(VLOOKUP(C225,'2. VOS DONNEES'!$D$44:$E$99,2,FALSE)))</f>
        <v>0</v>
      </c>
    </row>
    <row r="226" spans="3:19" x14ac:dyDescent="0.25">
      <c r="C226" s="100" t="s">
        <v>110</v>
      </c>
      <c r="D226" s="33">
        <v>2</v>
      </c>
      <c r="E226" s="891">
        <f>IF(ISNA(VLOOKUP(C226,'2. VOS DONNEES'!$D$44:$E$99,2,FALSE)),0,(VLOOKUP(C226,'2. VOS DONNEES'!$D$44:$E$99,2,FALSE)))</f>
        <v>0</v>
      </c>
    </row>
    <row r="227" spans="3:19" x14ac:dyDescent="0.25">
      <c r="C227" s="33" t="s">
        <v>790</v>
      </c>
      <c r="D227" s="33">
        <v>4</v>
      </c>
      <c r="E227" s="891">
        <f>IF(ISNA(VLOOKUP(C227,'2. VOS DONNEES'!$D$44:$E$99,2,FALSE)),0,(VLOOKUP(C227,'2. VOS DONNEES'!$D$44:$E$99,2,FALSE)))</f>
        <v>0</v>
      </c>
    </row>
    <row r="228" spans="3:19" x14ac:dyDescent="0.25">
      <c r="C228" s="33" t="s">
        <v>791</v>
      </c>
      <c r="D228" s="33">
        <v>4</v>
      </c>
      <c r="E228" s="891">
        <f>IF(ISNA(VLOOKUP(C228,'2. VOS DONNEES'!$D$44:$E$99,2,FALSE)),0,(VLOOKUP(C228,'2. VOS DONNEES'!$D$44:$E$99,2,FALSE)))</f>
        <v>0</v>
      </c>
    </row>
    <row r="229" spans="3:19" x14ac:dyDescent="0.25">
      <c r="C229" s="33" t="s">
        <v>792</v>
      </c>
      <c r="D229" s="33">
        <v>4</v>
      </c>
      <c r="E229" s="891">
        <f>IF(ISNA(VLOOKUP(C229,'2. VOS DONNEES'!$D$44:$E$99,2,FALSE)),0,(VLOOKUP(C229,'2. VOS DONNEES'!$D$44:$E$99,2,FALSE)))</f>
        <v>0</v>
      </c>
    </row>
    <row r="230" spans="3:19" x14ac:dyDescent="0.25">
      <c r="C230" s="33" t="s">
        <v>793</v>
      </c>
      <c r="D230" s="33">
        <v>3</v>
      </c>
      <c r="E230" s="891">
        <f>IF(ISNA(VLOOKUP(C230,'2. VOS DONNEES'!$D$44:$E$99,2,FALSE)),0,(VLOOKUP(C230,'2. VOS DONNEES'!$D$44:$E$99,2,FALSE)))</f>
        <v>0</v>
      </c>
    </row>
    <row r="231" spans="3:19" x14ac:dyDescent="0.25">
      <c r="C231" s="33" t="s">
        <v>794</v>
      </c>
      <c r="D231" s="33">
        <v>3</v>
      </c>
      <c r="E231" s="891">
        <f>IF(ISNA(VLOOKUP(C231,'2. VOS DONNEES'!$D$44:$E$99,2,FALSE)),0,(VLOOKUP(C231,'2. VOS DONNEES'!$D$44:$E$99,2,FALSE)))</f>
        <v>0</v>
      </c>
    </row>
    <row r="232" spans="3:19" x14ac:dyDescent="0.25">
      <c r="C232" s="33" t="s">
        <v>795</v>
      </c>
      <c r="D232" s="33">
        <v>3</v>
      </c>
      <c r="E232" s="891">
        <f>IF(ISNA(VLOOKUP(C232,'2. VOS DONNEES'!$D$44:$E$99,2,FALSE)),0,(VLOOKUP(C232,'2. VOS DONNEES'!$D$44:$E$99,2,FALSE)))</f>
        <v>0</v>
      </c>
    </row>
    <row r="233" spans="3:19" x14ac:dyDescent="0.25">
      <c r="C233" s="33" t="s">
        <v>796</v>
      </c>
      <c r="D233" s="33">
        <v>3</v>
      </c>
      <c r="E233" s="891">
        <f>IF(ISNA(VLOOKUP(C233,'2. VOS DONNEES'!$D$44:$E$99,2,FALSE)),0,(VLOOKUP(C233,'2. VOS DONNEES'!$D$44:$E$99,2,FALSE)))</f>
        <v>0</v>
      </c>
    </row>
    <row r="234" spans="3:19" x14ac:dyDescent="0.25">
      <c r="C234" s="1170" t="s">
        <v>797</v>
      </c>
      <c r="D234" s="1168"/>
      <c r="E234" s="1168"/>
      <c r="F234" t="s">
        <v>798</v>
      </c>
    </row>
    <row r="235" spans="3:19" x14ac:dyDescent="0.25">
      <c r="C235" s="1172" t="s">
        <v>27</v>
      </c>
      <c r="D235" s="33">
        <v>1</v>
      </c>
      <c r="E235" s="891" cm="1">
        <f t="array" ref="E235:F235">'2. VOS DONNEES'!E7:F7</f>
        <v>0</v>
      </c>
      <c r="F235">
        <v>0</v>
      </c>
      <c r="G235" s="1171" t="s">
        <v>799</v>
      </c>
      <c r="H235" s="1171"/>
    </row>
    <row r="236" spans="3:19" x14ac:dyDescent="0.25">
      <c r="C236" s="102"/>
      <c r="D236" s="84"/>
    </row>
    <row r="237" spans="3:19" x14ac:dyDescent="0.25">
      <c r="C237" s="1173" t="s">
        <v>800</v>
      </c>
      <c r="D237" s="1174"/>
      <c r="E237" s="154"/>
      <c r="F237" s="154"/>
    </row>
    <row r="238" spans="3:19" x14ac:dyDescent="0.25">
      <c r="D238" s="84" t="s">
        <v>801</v>
      </c>
      <c r="E238" t="s">
        <v>410</v>
      </c>
      <c r="F238" t="s">
        <v>411</v>
      </c>
      <c r="G238" t="s">
        <v>802</v>
      </c>
      <c r="M238" s="1223"/>
      <c r="N238" s="1223"/>
      <c r="O238" s="1223"/>
      <c r="P238" s="1223"/>
      <c r="S238" s="913"/>
    </row>
    <row r="239" spans="3:19" x14ac:dyDescent="0.25">
      <c r="C239" s="1175" t="s">
        <v>412</v>
      </c>
      <c r="D239" s="308">
        <f ca="1">IF(G239&lt;0.6,G239*(SUMIF($D$92:$E$235,1,E92:E235)-D87),(SUMIF($D$92:$E$235,1,E92:E235))-D87)</f>
        <v>0</v>
      </c>
      <c r="E239" s="33">
        <f>E12</f>
        <v>0</v>
      </c>
      <c r="F239" s="308">
        <f ca="1">D239-E239</f>
        <v>0</v>
      </c>
      <c r="G239" s="1203">
        <f>IF(D77&lt;0.6,D77/0.6,D77)</f>
        <v>0</v>
      </c>
      <c r="H239">
        <f ca="1">IF(D78="prorata",1,0)</f>
        <v>0</v>
      </c>
      <c r="M239" s="1223"/>
      <c r="N239" s="1223"/>
      <c r="O239" s="1223"/>
      <c r="P239" s="1223"/>
    </row>
    <row r="240" spans="3:19" ht="15.75" thickBot="1" x14ac:dyDescent="0.3">
      <c r="C240" s="1175" t="s">
        <v>414</v>
      </c>
      <c r="D240" s="33">
        <f ca="1">SUMIF($D$92:$E$235,2,E92:E235)</f>
        <v>0</v>
      </c>
      <c r="E240" s="33">
        <f>E13</f>
        <v>0</v>
      </c>
      <c r="F240" s="33">
        <f t="shared" ref="F240:F243" ca="1" si="3">D240-E240</f>
        <v>0</v>
      </c>
      <c r="M240" s="1224"/>
      <c r="N240" s="1225"/>
      <c r="O240" s="1225"/>
      <c r="P240" s="1226"/>
    </row>
    <row r="241" spans="1:26" x14ac:dyDescent="0.25">
      <c r="C241" s="1175" t="s">
        <v>415</v>
      </c>
      <c r="D241" s="33">
        <f ca="1">SUMIF($D$92:$E$235,3,E92:E235)</f>
        <v>0</v>
      </c>
      <c r="E241" s="33">
        <f>E14</f>
        <v>5</v>
      </c>
      <c r="F241" s="33">
        <f t="shared" ca="1" si="3"/>
        <v>-5</v>
      </c>
    </row>
    <row r="242" spans="1:26" x14ac:dyDescent="0.25">
      <c r="C242" s="1175" t="s">
        <v>416</v>
      </c>
      <c r="D242" s="33">
        <f ca="1">SUMIF($D$92:$E$235,4,E92:E235)</f>
        <v>0</v>
      </c>
      <c r="E242" s="33">
        <f>E15</f>
        <v>0</v>
      </c>
      <c r="F242" s="33">
        <f ca="1">D242-E242</f>
        <v>0</v>
      </c>
      <c r="X242" t="s">
        <v>803</v>
      </c>
    </row>
    <row r="243" spans="1:26" ht="30.75" customHeight="1" thickBot="1" x14ac:dyDescent="0.3">
      <c r="C243" s="1175" t="s">
        <v>417</v>
      </c>
      <c r="D243" s="33">
        <f ca="1">SUMIF($D$92:$E$235,5,E92:E235)</f>
        <v>0</v>
      </c>
      <c r="E243" s="33">
        <f>E16</f>
        <v>0</v>
      </c>
      <c r="F243" s="33">
        <f t="shared" ca="1" si="3"/>
        <v>0</v>
      </c>
      <c r="J243" t="s">
        <v>411</v>
      </c>
      <c r="K243" t="s">
        <v>804</v>
      </c>
      <c r="P243" s="33" t="s">
        <v>410</v>
      </c>
      <c r="Q243" t="s">
        <v>804</v>
      </c>
      <c r="R243" s="1180">
        <v>150</v>
      </c>
      <c r="T243" s="1524" t="s">
        <v>805</v>
      </c>
      <c r="U243" s="1525"/>
      <c r="V243" s="1525"/>
      <c r="W243" s="1526"/>
      <c r="X243" s="1181">
        <f>D27</f>
        <v>0</v>
      </c>
    </row>
    <row r="244" spans="1:26" ht="30.75" thickBot="1" x14ac:dyDescent="0.3">
      <c r="G244" t="s">
        <v>806</v>
      </c>
      <c r="J244" s="33"/>
      <c r="K244" s="33" t="s">
        <v>807</v>
      </c>
      <c r="L244" s="33" t="s">
        <v>808</v>
      </c>
      <c r="P244" s="33"/>
      <c r="Q244" s="33" t="s">
        <v>807</v>
      </c>
      <c r="R244" s="33" t="s">
        <v>808</v>
      </c>
      <c r="U244" s="1179" t="s">
        <v>809</v>
      </c>
      <c r="V244" s="1178" t="s">
        <v>810</v>
      </c>
    </row>
    <row r="245" spans="1:26" ht="15.75" thickBot="1" x14ac:dyDescent="0.3">
      <c r="C245" s="1175" t="s">
        <v>412</v>
      </c>
      <c r="D245" s="308" t="s">
        <v>811</v>
      </c>
      <c r="E245" s="1177">
        <f>IF(G239&lt;0.6,(IF(E239&lt;=60,E239*Q245,60*Q245+(E239-60)*R245))-(0.6-G239)/0.6*(IF(E239&lt;=60,E239*Q245,60*Q245+(E239-60)*R245)),IF(E239&lt;=60,E239*Q245,60*Q245+(E239-60)*R245))</f>
        <v>0</v>
      </c>
      <c r="F245" s="82">
        <f ca="1">IF(G239&lt;0.6,(IF(F239&lt;=60,K245*F239,60*K245+(F239-60)*L245))-((0.6-G239)/0.6)*(IF(F239&lt;=60,K245*F239,60*K245+(F239-60)*L245)),(IF(F239&lt;=60,K245*F239,60*K245+(F239-60)*L245)))</f>
        <v>0</v>
      </c>
      <c r="G245" s="239">
        <f ca="1">+E245+F245</f>
        <v>0</v>
      </c>
      <c r="J245" s="33" t="s">
        <v>812</v>
      </c>
      <c r="K245" s="33">
        <v>220</v>
      </c>
      <c r="L245" s="33">
        <v>132</v>
      </c>
      <c r="O245" s="33" t="s">
        <v>812</v>
      </c>
      <c r="P245" s="33"/>
      <c r="Q245" s="33">
        <f t="shared" ref="Q245:R247" si="4">K245+$R$243</f>
        <v>370</v>
      </c>
      <c r="R245" s="33">
        <f t="shared" si="4"/>
        <v>282</v>
      </c>
      <c r="T245" s="33" t="s">
        <v>812</v>
      </c>
      <c r="U245" s="1179">
        <v>40</v>
      </c>
      <c r="V245" s="1178">
        <v>24</v>
      </c>
    </row>
    <row r="246" spans="1:26" ht="15.75" thickBot="1" x14ac:dyDescent="0.3">
      <c r="C246" s="1175" t="s">
        <v>414</v>
      </c>
      <c r="D246" s="308" t="s">
        <v>811</v>
      </c>
      <c r="E246" s="1177">
        <f>IF(E240&lt;=60,E240*Q246,60*Q246+(E240-60)*R246)</f>
        <v>0</v>
      </c>
      <c r="F246" s="82">
        <f ca="1">IF(F240&lt;=60,K246*F240,60*K246+(F240-60)*L246)</f>
        <v>0</v>
      </c>
      <c r="G246" s="239">
        <f t="shared" ref="G246:G248" ca="1" si="5">+E246+F246</f>
        <v>0</v>
      </c>
      <c r="J246" s="33" t="s">
        <v>813</v>
      </c>
      <c r="K246" s="33">
        <v>220</v>
      </c>
      <c r="L246" s="33">
        <v>132</v>
      </c>
      <c r="O246" s="33" t="s">
        <v>813</v>
      </c>
      <c r="P246" s="33"/>
      <c r="Q246" s="33">
        <f t="shared" si="4"/>
        <v>370</v>
      </c>
      <c r="R246" s="33">
        <f t="shared" si="4"/>
        <v>282</v>
      </c>
      <c r="T246" s="33" t="s">
        <v>813</v>
      </c>
      <c r="U246" s="1179">
        <v>40</v>
      </c>
      <c r="V246" s="1178">
        <v>24</v>
      </c>
    </row>
    <row r="247" spans="1:26" ht="15.75" thickBot="1" x14ac:dyDescent="0.3">
      <c r="C247" s="1175" t="s">
        <v>415</v>
      </c>
      <c r="D247" s="33" t="s">
        <v>811</v>
      </c>
      <c r="E247" s="1177">
        <f>IF(E241&lt;=60,E241*Q247,60*Q247+(E241-60)*R247)</f>
        <v>2850</v>
      </c>
      <c r="F247" s="82">
        <f ca="1">IF(F241&lt;=60,K247*F241,60*K247+(F241-60)*L247)</f>
        <v>-2100</v>
      </c>
      <c r="G247" s="239">
        <f t="shared" ca="1" si="5"/>
        <v>750</v>
      </c>
      <c r="J247" s="33" t="s">
        <v>814</v>
      </c>
      <c r="K247" s="317">
        <v>420</v>
      </c>
      <c r="L247" s="317">
        <v>252</v>
      </c>
      <c r="O247" s="33" t="s">
        <v>814</v>
      </c>
      <c r="P247" s="33"/>
      <c r="Q247" s="33">
        <f t="shared" si="4"/>
        <v>570</v>
      </c>
      <c r="R247" s="33">
        <f t="shared" si="4"/>
        <v>402</v>
      </c>
      <c r="T247" s="33" t="s">
        <v>814</v>
      </c>
      <c r="U247" s="1179">
        <v>40</v>
      </c>
      <c r="V247" s="1178">
        <v>24</v>
      </c>
    </row>
    <row r="248" spans="1:26" ht="15.75" thickBot="1" x14ac:dyDescent="0.3">
      <c r="C248" s="1175" t="s">
        <v>416</v>
      </c>
      <c r="D248" s="33" t="s">
        <v>811</v>
      </c>
      <c r="E248" s="1177">
        <f>IF(E242&lt;=3,E242*K249,IF(E242&lt;=14,(E242-3)*L249+K249*3,(E242-14)*M249+3750+8800))</f>
        <v>0</v>
      </c>
      <c r="F248" s="82">
        <f ca="1">IF(SUM(D239:D243)&gt;10,IF((F242+F243)&lt;=3,(F242+F243)*K249,IF((F242+F243)&lt;=14,((F242+F243)-3)*L249+K249*3,((F242-F243)-14)*M249+3750+8800)),IF(F242&lt;=3,F242*K249,IF(F242&lt;=14,(F242-3)*L249+K249*3,(F242-14)*M249+3750+8800)))</f>
        <v>0</v>
      </c>
      <c r="G248" s="239">
        <f t="shared" ca="1" si="5"/>
        <v>0</v>
      </c>
      <c r="K248" s="33" t="s">
        <v>815</v>
      </c>
      <c r="L248" s="1176" t="s">
        <v>816</v>
      </c>
      <c r="M248" s="33" t="s">
        <v>817</v>
      </c>
      <c r="P248" s="33" t="s">
        <v>815</v>
      </c>
      <c r="Q248" s="1176" t="s">
        <v>816</v>
      </c>
      <c r="R248" s="33" t="s">
        <v>817</v>
      </c>
      <c r="U248" s="1178" t="s">
        <v>818</v>
      </c>
      <c r="V248" s="1178" t="s">
        <v>819</v>
      </c>
      <c r="W248" s="1178" t="s">
        <v>820</v>
      </c>
    </row>
    <row r="249" spans="1:26" ht="15.75" thickBot="1" x14ac:dyDescent="0.3">
      <c r="C249" s="1175" t="s">
        <v>417</v>
      </c>
      <c r="D249" s="33" t="s">
        <v>821</v>
      </c>
      <c r="E249" s="1222"/>
      <c r="F249" s="1213">
        <f ca="1">IF(SUM(D239:D243)&gt;10,0,IF(F243&lt;=3,F243*K251,12000))</f>
        <v>0</v>
      </c>
      <c r="J249" s="33" t="s">
        <v>822</v>
      </c>
      <c r="K249" s="33">
        <v>1250</v>
      </c>
      <c r="L249" s="33">
        <v>800</v>
      </c>
      <c r="M249" s="33">
        <v>420</v>
      </c>
      <c r="O249" s="33" t="s">
        <v>822</v>
      </c>
      <c r="P249" s="33">
        <f>K249+$R$243</f>
        <v>1400</v>
      </c>
      <c r="Q249" s="33">
        <f>L249+$R$243</f>
        <v>950</v>
      </c>
      <c r="R249" s="33">
        <f>M249+$R$243</f>
        <v>570</v>
      </c>
      <c r="T249" s="33" t="s">
        <v>822</v>
      </c>
      <c r="U249" s="1178">
        <v>40</v>
      </c>
      <c r="V249" s="1178">
        <v>40</v>
      </c>
      <c r="W249" s="1178">
        <v>40</v>
      </c>
    </row>
    <row r="250" spans="1:26" x14ac:dyDescent="0.25">
      <c r="K250" s="33" t="s">
        <v>815</v>
      </c>
      <c r="P250" s="33" t="s">
        <v>815</v>
      </c>
      <c r="Q250" s="33"/>
      <c r="R250" s="33"/>
    </row>
    <row r="251" spans="1:26" x14ac:dyDescent="0.25">
      <c r="G251" s="584">
        <f ca="1">+E249+F249</f>
        <v>0</v>
      </c>
      <c r="J251" s="33" t="s">
        <v>823</v>
      </c>
      <c r="K251" s="33">
        <v>4000</v>
      </c>
      <c r="P251" s="33">
        <v>0</v>
      </c>
      <c r="Q251" s="33"/>
      <c r="R251" s="33"/>
    </row>
    <row r="253" spans="1:26" ht="37.5" customHeight="1" x14ac:dyDescent="0.25">
      <c r="A253" s="1210"/>
      <c r="B253" s="1210"/>
      <c r="C253" s="1210"/>
      <c r="D253" s="1210"/>
      <c r="E253" s="1210"/>
      <c r="F253" s="1210"/>
      <c r="G253" s="1210"/>
      <c r="H253" s="1210"/>
      <c r="I253" s="1210"/>
      <c r="J253" s="1210"/>
      <c r="K253" s="1210"/>
      <c r="L253" s="1210"/>
      <c r="M253" s="1210"/>
      <c r="N253" s="1210"/>
      <c r="O253" s="1210"/>
      <c r="P253" s="1210"/>
      <c r="Q253" s="1210"/>
      <c r="R253" s="1210"/>
      <c r="S253" s="1210"/>
      <c r="T253" s="1210"/>
      <c r="U253" s="1210"/>
      <c r="V253" s="1210"/>
      <c r="W253" s="1210"/>
      <c r="X253" s="1210"/>
      <c r="Y253" s="1210"/>
      <c r="Z253" s="1210"/>
    </row>
    <row r="254" spans="1:26" x14ac:dyDescent="0.25">
      <c r="C254" s="154" t="s">
        <v>824</v>
      </c>
    </row>
    <row r="255" spans="1:26" x14ac:dyDescent="0.25">
      <c r="C255" t="s">
        <v>825</v>
      </c>
    </row>
    <row r="256" spans="1:26" x14ac:dyDescent="0.25">
      <c r="C256" s="33" t="s">
        <v>606</v>
      </c>
      <c r="D256" s="33" t="str">
        <f>IF(D29="OK BIO","Vous pouvez bénéficier de l'aide agriculture biologique","Pas éligible")</f>
        <v>Pas éligible</v>
      </c>
    </row>
    <row r="257" spans="3:4" x14ac:dyDescent="0.25">
      <c r="C257" s="33" t="s">
        <v>608</v>
      </c>
      <c r="D257" s="33">
        <f ca="1">D239</f>
        <v>0</v>
      </c>
    </row>
    <row r="258" spans="3:4" x14ac:dyDescent="0.25">
      <c r="C258" s="33" t="s">
        <v>826</v>
      </c>
      <c r="D258" s="33" t="str">
        <f ca="1">IF(H239&lt;=1,"PRORATA SUR GR1","PAS DE PRORATA")</f>
        <v>PRORATA SUR GR1</v>
      </c>
    </row>
    <row r="259" spans="3:4" x14ac:dyDescent="0.25">
      <c r="C259" s="33" t="s">
        <v>610</v>
      </c>
      <c r="D259" s="81">
        <f ca="1">G245</f>
        <v>0</v>
      </c>
    </row>
    <row r="260" spans="3:4" x14ac:dyDescent="0.25">
      <c r="C260" s="33" t="s">
        <v>611</v>
      </c>
      <c r="D260" s="33">
        <f ca="1">F240</f>
        <v>0</v>
      </c>
    </row>
    <row r="261" spans="3:4" x14ac:dyDescent="0.25">
      <c r="C261" s="33" t="s">
        <v>612</v>
      </c>
      <c r="D261" s="82">
        <f ca="1">G246</f>
        <v>0</v>
      </c>
    </row>
    <row r="262" spans="3:4" x14ac:dyDescent="0.25">
      <c r="C262" s="33" t="s">
        <v>613</v>
      </c>
      <c r="D262" s="33">
        <f ca="1">F241</f>
        <v>-5</v>
      </c>
    </row>
    <row r="263" spans="3:4" x14ac:dyDescent="0.25">
      <c r="C263" s="33" t="s">
        <v>614</v>
      </c>
      <c r="D263" s="82">
        <f ca="1">G247</f>
        <v>750</v>
      </c>
    </row>
    <row r="264" spans="3:4" x14ac:dyDescent="0.25">
      <c r="C264" s="33" t="s">
        <v>615</v>
      </c>
      <c r="D264" s="33">
        <f ca="1">F242</f>
        <v>0</v>
      </c>
    </row>
    <row r="265" spans="3:4" x14ac:dyDescent="0.25">
      <c r="C265" s="33" t="s">
        <v>616</v>
      </c>
      <c r="D265" s="82">
        <f ca="1">F248</f>
        <v>0</v>
      </c>
    </row>
    <row r="266" spans="3:4" x14ac:dyDescent="0.25">
      <c r="C266" s="33" t="s">
        <v>617</v>
      </c>
      <c r="D266" s="33">
        <f ca="1">D243</f>
        <v>0</v>
      </c>
    </row>
    <row r="267" spans="3:4" x14ac:dyDescent="0.25">
      <c r="C267" s="33" t="s">
        <v>1434</v>
      </c>
      <c r="D267" s="33" t="str">
        <f ca="1">IF(D266&lt;=3,"OK","KO")</f>
        <v>OK</v>
      </c>
    </row>
    <row r="268" spans="3:4" x14ac:dyDescent="0.25">
      <c r="C268" s="33" t="s">
        <v>1435</v>
      </c>
      <c r="D268" s="33" t="str">
        <f ca="1">IF((D257+D260+D262+D264+D266)&lt;=10,"OK","KO")</f>
        <v>OK</v>
      </c>
    </row>
    <row r="269" spans="3:4" x14ac:dyDescent="0.25">
      <c r="C269" s="33" t="s">
        <v>421</v>
      </c>
      <c r="D269" s="1142" t="str">
        <f ca="1">IF(D268="KO","Vous ne pouvez pas bénéficier de l'aide GR 5 Petit maraichage, une prime selon les conditions du GR4 sera octroyée","Vous pouvez bénéficier de l'aide")</f>
        <v>Vous pouvez bénéficier de l'aide</v>
      </c>
    </row>
    <row r="270" spans="3:4" x14ac:dyDescent="0.25">
      <c r="C270" s="33" t="s">
        <v>619</v>
      </c>
      <c r="D270" s="82">
        <f ca="1">G251</f>
        <v>0</v>
      </c>
    </row>
    <row r="272" spans="3:4" x14ac:dyDescent="0.25">
      <c r="C272" s="33" t="s">
        <v>620</v>
      </c>
      <c r="D272" s="82">
        <f ca="1">D270+D263+D265+D261+D259</f>
        <v>750</v>
      </c>
    </row>
  </sheetData>
  <sheetProtection sheet="1" objects="1" scenarios="1"/>
  <autoFilter ref="C91:E233" xr:uid="{F7A53C7E-C88F-47CA-9A13-5AECE9969891}"/>
  <mergeCells count="7">
    <mergeCell ref="B4:D4"/>
    <mergeCell ref="T243:W243"/>
    <mergeCell ref="G5:R5"/>
    <mergeCell ref="G6:R6"/>
    <mergeCell ref="G7:R7"/>
    <mergeCell ref="G8:R8"/>
    <mergeCell ref="G9:R9"/>
  </mergeCells>
  <conditionalFormatting sqref="A5">
    <cfRule type="expression" dxfId="16" priority="3">
      <formula>ISBLANK($E5)=FALSE</formula>
    </cfRule>
  </conditionalFormatting>
  <conditionalFormatting sqref="H239">
    <cfRule type="cellIs" dxfId="15" priority="1" operator="between">
      <formula>1</formula>
      <formula>1111111111</formula>
    </cfRule>
  </conditionalFormatting>
  <dataValidations disablePrompts="1" count="1">
    <dataValidation type="list" errorStyle="information" allowBlank="1" showInputMessage="1" showErrorMessage="1" errorTitle="Attention" error="Cette culture ne fait pas partie de la liste :  veuillez modifier votre entrée." promptTitle="Veuillez ajouter vos surfaces" prompt="en les choisissant dans le menu déroulant." sqref="C227 C230" xr:uid="{CE87623E-2B92-42A3-B828-55F8711CFA83}">
      <formula1>OFFSET(Code_CMI,MATCH(C227&amp;"*",Code_CMI,0)-1,,COUNTIF(Code_CMI,C227&amp;"*"))</formula1>
    </dataValidation>
  </dataValidations>
  <pageMargins left="0.7" right="0.7" top="0.75" bottom="0.75" header="0.3" footer="0.3"/>
  <pageSetup paperSize="9" orientation="portrait" r:id="rId1"/>
  <drawing r:id="rId2"/>
  <legacyDrawing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401FCED-735A-4CDD-B1F5-BA61E5C3237A}">
  <dimension ref="A1"/>
  <sheetViews>
    <sheetView workbookViewId="0"/>
  </sheetViews>
  <sheetFormatPr baseColWidth="10" defaultRowHeight="15" x14ac:dyDescent="0.25"/>
  <sheetData/>
  <pageMargins left="0.7" right="0.7"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86A5DEE-9E52-47B5-87E6-B605673E088E}">
  <sheetPr codeName="Feuil4">
    <tabColor rgb="FF00B0F0"/>
  </sheetPr>
  <dimension ref="B1:G81"/>
  <sheetViews>
    <sheetView showGridLines="0" zoomScale="80" zoomScaleNormal="80" workbookViewId="0">
      <selection activeCell="D39" sqref="D39"/>
    </sheetView>
  </sheetViews>
  <sheetFormatPr baseColWidth="10" defaultColWidth="11.42578125" defaultRowHeight="15" x14ac:dyDescent="0.25"/>
  <cols>
    <col min="1" max="1" width="2.7109375" customWidth="1"/>
    <col min="2" max="2" width="9.85546875" style="130" customWidth="1"/>
    <col min="3" max="3" width="103.28515625" style="145" customWidth="1"/>
    <col min="4" max="4" width="61.7109375" style="145" customWidth="1"/>
    <col min="6" max="6" width="116.5703125" customWidth="1"/>
  </cols>
  <sheetData>
    <row r="1" spans="2:7" ht="6.6" customHeight="1" thickBot="1" x14ac:dyDescent="0.3"/>
    <row r="2" spans="2:7" s="232" customFormat="1" x14ac:dyDescent="0.25">
      <c r="B2" s="229" t="s">
        <v>827</v>
      </c>
      <c r="C2" s="230" t="s">
        <v>828</v>
      </c>
      <c r="D2" s="231" t="s">
        <v>829</v>
      </c>
      <c r="F2" s="232" t="s">
        <v>830</v>
      </c>
    </row>
    <row r="3" spans="2:7" s="134" customFormat="1" ht="15" customHeight="1" x14ac:dyDescent="0.25">
      <c r="B3" s="233">
        <v>77</v>
      </c>
      <c r="C3" s="210" t="s">
        <v>831</v>
      </c>
      <c r="D3" s="219" t="s">
        <v>832</v>
      </c>
      <c r="F3" s="145" t="str">
        <f>CONCATENATE(C3," ",,"[",B3,"]")</f>
        <v>Autres mélanges (avec moins de 50 % de graminées) que ceux déjà listés [77]</v>
      </c>
    </row>
    <row r="4" spans="2:7" s="134" customFormat="1" ht="15" customHeight="1" x14ac:dyDescent="0.25">
      <c r="B4" s="233">
        <v>342</v>
      </c>
      <c r="C4" s="211" t="s">
        <v>833</v>
      </c>
      <c r="D4" s="220" t="s">
        <v>834</v>
      </c>
      <c r="F4" s="145" t="str">
        <f t="shared" ref="F4:F67" si="0">CONCATENATE(C4," ",,"[",B4,"]")</f>
        <v>Avoine de printemps [342]</v>
      </c>
    </row>
    <row r="5" spans="2:7" s="134" customFormat="1" ht="15" customHeight="1" x14ac:dyDescent="0.25">
      <c r="B5" s="233">
        <v>752</v>
      </c>
      <c r="C5" s="211" t="s">
        <v>835</v>
      </c>
      <c r="D5" s="220" t="s">
        <v>836</v>
      </c>
      <c r="F5" s="145" t="str">
        <f t="shared" si="0"/>
        <v>Bande bordure de champ SIE [752]</v>
      </c>
    </row>
    <row r="6" spans="2:7" s="134" customFormat="1" ht="15" customHeight="1" x14ac:dyDescent="0.25">
      <c r="B6" s="233">
        <v>754</v>
      </c>
      <c r="C6" s="211" t="s">
        <v>837</v>
      </c>
      <c r="D6" s="220" t="s">
        <v>836</v>
      </c>
      <c r="F6" s="145" t="str">
        <f t="shared" si="0"/>
        <v>Bande ou parcelle aménagée MAEC MC7 MC8  [754]</v>
      </c>
    </row>
    <row r="7" spans="2:7" s="134" customFormat="1" ht="15" customHeight="1" x14ac:dyDescent="0.25">
      <c r="B7" s="233">
        <v>48</v>
      </c>
      <c r="C7" s="211" t="s">
        <v>838</v>
      </c>
      <c r="D7" s="220" t="s">
        <v>839</v>
      </c>
      <c r="F7" s="145" t="str">
        <f t="shared" si="0"/>
        <v>Cameline [48]</v>
      </c>
    </row>
    <row r="8" spans="2:7" s="134" customFormat="1" ht="15" customHeight="1" x14ac:dyDescent="0.25">
      <c r="B8" s="233">
        <v>742</v>
      </c>
      <c r="C8" s="210" t="s">
        <v>840</v>
      </c>
      <c r="D8" s="219" t="s">
        <v>832</v>
      </c>
      <c r="F8" s="145" t="str">
        <f t="shared" si="0"/>
        <v>Carottes fourragères [742]</v>
      </c>
    </row>
    <row r="9" spans="2:7" s="134" customFormat="1" ht="15" customHeight="1" x14ac:dyDescent="0.25">
      <c r="B9" s="233">
        <v>872</v>
      </c>
      <c r="C9" s="211" t="s">
        <v>841</v>
      </c>
      <c r="D9" s="220" t="s">
        <v>834</v>
      </c>
      <c r="F9" s="145" t="str">
        <f t="shared" si="0"/>
        <v>Chanvre non textile (culture soumise à autorisation préalable au semis) [872]</v>
      </c>
    </row>
    <row r="10" spans="2:7" s="134" customFormat="1" ht="15" customHeight="1" x14ac:dyDescent="0.25">
      <c r="B10" s="233">
        <v>922</v>
      </c>
      <c r="C10" s="211" t="s">
        <v>842</v>
      </c>
      <c r="D10" s="220" t="s">
        <v>834</v>
      </c>
      <c r="F10" s="145" t="str">
        <f t="shared" si="0"/>
        <v>Chanvre textile (culture soumise à autorisation préalable au semis) [922]</v>
      </c>
    </row>
    <row r="11" spans="2:7" s="134" customFormat="1" ht="15" customHeight="1" x14ac:dyDescent="0.25">
      <c r="B11" s="233">
        <v>9742</v>
      </c>
      <c r="C11" s="210" t="s">
        <v>843</v>
      </c>
      <c r="D11" s="219" t="s">
        <v>844</v>
      </c>
      <c r="F11" s="145" t="str">
        <f t="shared" si="0"/>
        <v>Cultures fruitière pluriannuelles-hautes tiges ( de 50 à 250 arbres/ha) [9742]</v>
      </c>
    </row>
    <row r="12" spans="2:7" s="134" customFormat="1" ht="15" customHeight="1" x14ac:dyDescent="0.25">
      <c r="B12" s="233">
        <v>9726</v>
      </c>
      <c r="C12" s="212" t="s">
        <v>845</v>
      </c>
      <c r="D12" s="221" t="s">
        <v>844</v>
      </c>
      <c r="F12" s="145" t="str">
        <f t="shared" si="0"/>
        <v>Cultures fruitières pluriannuelles (cerises) -hautes tiges [9726]</v>
      </c>
    </row>
    <row r="13" spans="2:7" s="134" customFormat="1" ht="15" customHeight="1" x14ac:dyDescent="0.25">
      <c r="B13" s="233">
        <v>9731</v>
      </c>
      <c r="C13" s="213" t="s">
        <v>846</v>
      </c>
      <c r="D13" s="222" t="s">
        <v>844</v>
      </c>
      <c r="F13" s="145" t="str">
        <f t="shared" si="0"/>
        <v>cultures fruitières pluriannuelles (poires) - hautes tiges [9731]</v>
      </c>
    </row>
    <row r="14" spans="2:7" s="134" customFormat="1" ht="15" customHeight="1" x14ac:dyDescent="0.25">
      <c r="B14" s="233">
        <v>9730</v>
      </c>
      <c r="C14" s="213" t="s">
        <v>847</v>
      </c>
      <c r="D14" s="222" t="s">
        <v>844</v>
      </c>
      <c r="F14" s="145" t="str">
        <f t="shared" si="0"/>
        <v>cultures fruitières pluriannuelles (pommes) -hautes tiges [9730]</v>
      </c>
      <c r="G14" s="1287" t="s">
        <v>1449</v>
      </c>
    </row>
    <row r="15" spans="2:7" s="134" customFormat="1" ht="15" customHeight="1" x14ac:dyDescent="0.25">
      <c r="B15" s="233">
        <v>9732</v>
      </c>
      <c r="C15" s="212" t="s">
        <v>848</v>
      </c>
      <c r="D15" s="221" t="s">
        <v>844</v>
      </c>
      <c r="F15" s="145" t="str">
        <f t="shared" si="0"/>
        <v>cultures fruitières pluriannuelles (prunes) - hautes tiges [9732]</v>
      </c>
    </row>
    <row r="16" spans="2:7" s="134" customFormat="1" ht="15" customHeight="1" x14ac:dyDescent="0.25">
      <c r="B16" s="233">
        <v>361</v>
      </c>
      <c r="C16" s="211" t="s">
        <v>849</v>
      </c>
      <c r="D16" s="220" t="s">
        <v>834</v>
      </c>
      <c r="F16" s="145" t="str">
        <f t="shared" si="0"/>
        <v>Epeautre de printemps [361]</v>
      </c>
    </row>
    <row r="17" spans="2:6" s="134" customFormat="1" ht="15" customHeight="1" x14ac:dyDescent="0.25">
      <c r="B17" s="233">
        <v>36</v>
      </c>
      <c r="C17" s="214" t="s">
        <v>850</v>
      </c>
      <c r="D17" s="223" t="s">
        <v>834</v>
      </c>
      <c r="F17" s="145" t="str">
        <f t="shared" si="0"/>
        <v>Epeautre d'hiver [36]</v>
      </c>
    </row>
    <row r="18" spans="2:6" s="134" customFormat="1" ht="15" customHeight="1" x14ac:dyDescent="0.25">
      <c r="B18" s="234">
        <v>59</v>
      </c>
      <c r="C18" s="215" t="s">
        <v>851</v>
      </c>
      <c r="D18" s="224" t="s">
        <v>852</v>
      </c>
      <c r="F18" s="145" t="str">
        <f t="shared" si="0"/>
        <v>Fenugrec [59]</v>
      </c>
    </row>
    <row r="19" spans="2:6" s="134" customFormat="1" ht="15" customHeight="1" x14ac:dyDescent="0.25">
      <c r="B19" s="234">
        <v>521</v>
      </c>
      <c r="C19" s="210" t="s">
        <v>853</v>
      </c>
      <c r="D19" s="219" t="s">
        <v>852</v>
      </c>
      <c r="F19" s="145" t="str">
        <f t="shared" si="0"/>
        <v>Fèves et Féveroles d’hiver [521]</v>
      </c>
    </row>
    <row r="20" spans="2:6" s="134" customFormat="1" ht="15" customHeight="1" x14ac:dyDescent="0.25">
      <c r="B20" s="234">
        <v>522</v>
      </c>
      <c r="C20" s="210" t="s">
        <v>854</v>
      </c>
      <c r="D20" s="219" t="s">
        <v>852</v>
      </c>
      <c r="F20" s="145" t="str">
        <f t="shared" si="0"/>
        <v>Fèves et Féveroles de printemps  [522]</v>
      </c>
    </row>
    <row r="21" spans="2:6" s="134" customFormat="1" ht="15" customHeight="1" x14ac:dyDescent="0.25">
      <c r="B21" s="233">
        <v>311</v>
      </c>
      <c r="C21" s="214" t="s">
        <v>855</v>
      </c>
      <c r="D21" s="223" t="s">
        <v>834</v>
      </c>
      <c r="F21" s="145" t="str">
        <f t="shared" si="0"/>
        <v>Froment d’hiver [311]</v>
      </c>
    </row>
    <row r="22" spans="2:6" s="134" customFormat="1" ht="15" customHeight="1" x14ac:dyDescent="0.25">
      <c r="B22" s="233">
        <v>312</v>
      </c>
      <c r="C22" s="211" t="s">
        <v>856</v>
      </c>
      <c r="D22" s="220" t="s">
        <v>834</v>
      </c>
      <c r="F22" s="145" t="str">
        <f t="shared" si="0"/>
        <v>Froment de printemps [312]</v>
      </c>
    </row>
    <row r="23" spans="2:6" s="134" customFormat="1" ht="15" customHeight="1" x14ac:dyDescent="0.25">
      <c r="B23" s="233">
        <v>9410</v>
      </c>
      <c r="C23" s="210" t="s">
        <v>857</v>
      </c>
      <c r="D23" s="219" t="s">
        <v>832</v>
      </c>
      <c r="F23" s="145" t="str">
        <f t="shared" si="0"/>
        <v>Haricots [9410]</v>
      </c>
    </row>
    <row r="24" spans="2:6" s="134" customFormat="1" ht="15" customHeight="1" x14ac:dyDescent="0.25">
      <c r="B24" s="233">
        <v>811</v>
      </c>
      <c r="C24" s="211" t="s">
        <v>858</v>
      </c>
      <c r="D24" s="220" t="s">
        <v>836</v>
      </c>
      <c r="F24" s="145" t="str">
        <f t="shared" si="0"/>
        <v>Jachère fourragère herbacée [811]</v>
      </c>
    </row>
    <row r="25" spans="2:6" s="134" customFormat="1" ht="15" customHeight="1" x14ac:dyDescent="0.25">
      <c r="B25" s="233">
        <v>812</v>
      </c>
      <c r="C25" s="213" t="s">
        <v>859</v>
      </c>
      <c r="D25" s="220" t="s">
        <v>836</v>
      </c>
      <c r="F25" s="145" t="str">
        <f t="shared" si="0"/>
        <v>Jachère fourragère NON herbacée [812]</v>
      </c>
    </row>
    <row r="26" spans="2:6" s="134" customFormat="1" ht="15" customHeight="1" x14ac:dyDescent="0.25">
      <c r="B26" s="233">
        <v>813</v>
      </c>
      <c r="C26" s="216" t="s">
        <v>860</v>
      </c>
      <c r="D26" s="220" t="s">
        <v>836</v>
      </c>
      <c r="F26" s="145" t="str">
        <f t="shared" si="0"/>
        <v>Jachères mellifères [813]</v>
      </c>
    </row>
    <row r="27" spans="2:6" s="134" customFormat="1" ht="15" customHeight="1" x14ac:dyDescent="0.25">
      <c r="B27" s="233">
        <v>966</v>
      </c>
      <c r="C27" s="210" t="s">
        <v>861</v>
      </c>
      <c r="D27" s="219" t="s">
        <v>832</v>
      </c>
      <c r="F27" s="145" t="str">
        <f t="shared" si="0"/>
        <v>Légume légumineuse [966]</v>
      </c>
    </row>
    <row r="28" spans="2:6" s="134" customFormat="1" ht="15" customHeight="1" x14ac:dyDescent="0.25">
      <c r="B28" s="234">
        <v>934</v>
      </c>
      <c r="C28" s="210" t="s">
        <v>862</v>
      </c>
      <c r="D28" s="219" t="s">
        <v>852</v>
      </c>
      <c r="F28" s="145" t="str">
        <f t="shared" si="0"/>
        <v>Lentilles [934]</v>
      </c>
    </row>
    <row r="29" spans="2:6" s="134" customFormat="1" ht="15" customHeight="1" x14ac:dyDescent="0.25">
      <c r="B29" s="233">
        <v>57</v>
      </c>
      <c r="C29" s="211" t="s">
        <v>863</v>
      </c>
      <c r="D29" s="220" t="s">
        <v>864</v>
      </c>
      <c r="F29" s="145" t="str">
        <f t="shared" si="0"/>
        <v>Lotier corniculé (Lotus corniculatis) [57]</v>
      </c>
    </row>
    <row r="30" spans="2:6" s="134" customFormat="1" ht="15" customHeight="1" x14ac:dyDescent="0.25">
      <c r="B30" s="233">
        <v>53</v>
      </c>
      <c r="C30" s="210" t="s">
        <v>865</v>
      </c>
      <c r="D30" s="219" t="s">
        <v>852</v>
      </c>
      <c r="F30" s="145" t="str">
        <f t="shared" si="0"/>
        <v>Lupin doux [53]</v>
      </c>
    </row>
    <row r="31" spans="2:6" s="134" customFormat="1" ht="15" customHeight="1" x14ac:dyDescent="0.25">
      <c r="B31" s="233">
        <v>73</v>
      </c>
      <c r="C31" s="211" t="s">
        <v>866</v>
      </c>
      <c r="D31" s="220" t="s">
        <v>864</v>
      </c>
      <c r="F31" s="145" t="str">
        <f t="shared" si="0"/>
        <v>Luzerne [73]</v>
      </c>
    </row>
    <row r="32" spans="2:6" s="134" customFormat="1" ht="15" customHeight="1" x14ac:dyDescent="0.25">
      <c r="B32" s="233">
        <v>56</v>
      </c>
      <c r="C32" s="211" t="s">
        <v>867</v>
      </c>
      <c r="D32" s="220" t="s">
        <v>864</v>
      </c>
      <c r="F32" s="145" t="str">
        <f t="shared" si="0"/>
        <v>Luzerne lupuline [56]</v>
      </c>
    </row>
    <row r="33" spans="2:6" s="134" customFormat="1" ht="15" customHeight="1" x14ac:dyDescent="0.25">
      <c r="B33" s="233">
        <v>202</v>
      </c>
      <c r="C33" s="210" t="s">
        <v>868</v>
      </c>
      <c r="D33" s="219" t="s">
        <v>832</v>
      </c>
      <c r="F33" s="145" t="str">
        <f t="shared" si="0"/>
        <v>Maïs en grain [202]</v>
      </c>
    </row>
    <row r="34" spans="2:6" s="134" customFormat="1" ht="15" customHeight="1" x14ac:dyDescent="0.25">
      <c r="B34" s="233">
        <v>201</v>
      </c>
      <c r="C34" s="210" t="s">
        <v>869</v>
      </c>
      <c r="D34" s="219" t="s">
        <v>832</v>
      </c>
      <c r="F34" s="145" t="str">
        <f t="shared" si="0"/>
        <v>Maïs ensilage  [201]</v>
      </c>
    </row>
    <row r="35" spans="2:6" s="134" customFormat="1" ht="15" customHeight="1" x14ac:dyDescent="0.25">
      <c r="B35" s="234">
        <v>392</v>
      </c>
      <c r="C35" s="211" t="s">
        <v>870</v>
      </c>
      <c r="D35" s="220" t="s">
        <v>839</v>
      </c>
      <c r="F35" s="145" t="str">
        <f t="shared" si="0"/>
        <v>Mélange de céréales de printemps (+50%) et de légumineuses (+20%)  [392]</v>
      </c>
    </row>
    <row r="36" spans="2:6" s="134" customFormat="1" ht="15" customHeight="1" x14ac:dyDescent="0.25">
      <c r="B36" s="233">
        <v>394</v>
      </c>
      <c r="C36" s="214" t="s">
        <v>871</v>
      </c>
      <c r="D36" s="223" t="s">
        <v>834</v>
      </c>
      <c r="F36" s="145" t="str">
        <f t="shared" si="0"/>
        <v>Mélange de céréales de printemps uniquement [394]</v>
      </c>
    </row>
    <row r="37" spans="2:6" s="134" customFormat="1" ht="15" customHeight="1" x14ac:dyDescent="0.25">
      <c r="B37" s="234">
        <v>391</v>
      </c>
      <c r="C37" s="211" t="s">
        <v>872</v>
      </c>
      <c r="D37" s="220" t="s">
        <v>839</v>
      </c>
      <c r="F37" s="145" t="str">
        <f t="shared" si="0"/>
        <v>Mélange de céréales d'hiver (+50%) et de légumineuses (+20%)  [391]</v>
      </c>
    </row>
    <row r="38" spans="2:6" s="134" customFormat="1" ht="15" customHeight="1" x14ac:dyDescent="0.25">
      <c r="B38" s="233">
        <v>393</v>
      </c>
      <c r="C38" s="214" t="s">
        <v>873</v>
      </c>
      <c r="D38" s="223" t="s">
        <v>834</v>
      </c>
      <c r="F38" s="145" t="str">
        <f t="shared" si="0"/>
        <v>Mélange de céréales d'hiver uniquement [393]</v>
      </c>
    </row>
    <row r="39" spans="2:6" s="134" customFormat="1" ht="15" customHeight="1" x14ac:dyDescent="0.25">
      <c r="B39" s="234">
        <v>542</v>
      </c>
      <c r="C39" s="217" t="s">
        <v>874</v>
      </c>
      <c r="D39" s="225" t="s">
        <v>852</v>
      </c>
      <c r="F39" s="145" t="str">
        <f t="shared" si="0"/>
        <v>Mélange de printemps de légumineuses prépondérantes (plus de 50%) et  de céréales ou autres espèces [542]</v>
      </c>
    </row>
    <row r="40" spans="2:6" s="134" customFormat="1" ht="15" customHeight="1" x14ac:dyDescent="0.25">
      <c r="B40" s="233">
        <v>541</v>
      </c>
      <c r="C40" s="217" t="s">
        <v>875</v>
      </c>
      <c r="D40" s="225" t="s">
        <v>852</v>
      </c>
      <c r="F40" s="145" t="str">
        <f t="shared" si="0"/>
        <v>Mélange d'hiver de légumineuses prépondérantes  (plus de 50%) et de céréales ou autres espèces [541]</v>
      </c>
    </row>
    <row r="41" spans="2:6" s="134" customFormat="1" ht="15" customHeight="1" x14ac:dyDescent="0.25">
      <c r="B41" s="233">
        <v>397</v>
      </c>
      <c r="C41" s="211" t="s">
        <v>876</v>
      </c>
      <c r="D41" s="220" t="s">
        <v>839</v>
      </c>
      <c r="F41" s="145" t="str">
        <f t="shared" si="0"/>
        <v>Mélange froment ou épeautre (plus de 50%) et de pois ou féverole (plus de 20%) [397]</v>
      </c>
    </row>
    <row r="42" spans="2:6" s="134" customFormat="1" ht="15" customHeight="1" x14ac:dyDescent="0.25">
      <c r="B42" s="233"/>
      <c r="C42" s="211" t="s">
        <v>877</v>
      </c>
      <c r="D42" s="220" t="s">
        <v>839</v>
      </c>
      <c r="F42" s="145" t="str">
        <f t="shared" si="0"/>
        <v>Mélanges de caméline et de lentilles vertes ou de lentilles brunes. []</v>
      </c>
    </row>
    <row r="43" spans="2:6" s="134" customFormat="1" ht="15" customHeight="1" x14ac:dyDescent="0.25">
      <c r="B43" s="233">
        <v>383</v>
      </c>
      <c r="C43" s="211" t="s">
        <v>878</v>
      </c>
      <c r="D43" s="220" t="s">
        <v>834</v>
      </c>
      <c r="F43" s="145" t="str">
        <f t="shared" si="0"/>
        <v>Millet [383]</v>
      </c>
    </row>
    <row r="44" spans="2:6" s="134" customFormat="1" ht="15" customHeight="1" x14ac:dyDescent="0.25">
      <c r="B44" s="233">
        <v>746</v>
      </c>
      <c r="C44" s="210" t="s">
        <v>879</v>
      </c>
      <c r="D44" s="219" t="s">
        <v>832</v>
      </c>
      <c r="F44" s="145" t="str">
        <f t="shared" si="0"/>
        <v>Navets fourragers [746]</v>
      </c>
    </row>
    <row r="45" spans="2:6" s="134" customFormat="1" ht="15" customHeight="1" x14ac:dyDescent="0.25">
      <c r="B45" s="233">
        <v>323</v>
      </c>
      <c r="C45" s="211" t="s">
        <v>880</v>
      </c>
      <c r="D45" s="220" t="s">
        <v>834</v>
      </c>
      <c r="F45" s="145" t="str">
        <f t="shared" si="0"/>
        <v>Orge de brasserie [323]</v>
      </c>
    </row>
    <row r="46" spans="2:6" s="134" customFormat="1" ht="15" customHeight="1" x14ac:dyDescent="0.25">
      <c r="B46" s="233">
        <v>322</v>
      </c>
      <c r="C46" s="211" t="s">
        <v>881</v>
      </c>
      <c r="D46" s="220" t="s">
        <v>834</v>
      </c>
      <c r="F46" s="145" t="str">
        <f t="shared" si="0"/>
        <v>Orge de printemps [322]</v>
      </c>
    </row>
    <row r="47" spans="2:6" s="134" customFormat="1" ht="15" customHeight="1" x14ac:dyDescent="0.25">
      <c r="B47" s="233">
        <v>760</v>
      </c>
      <c r="C47" s="210" t="s">
        <v>882</v>
      </c>
      <c r="D47" s="219" t="s">
        <v>832</v>
      </c>
      <c r="F47" s="145" t="str">
        <f t="shared" si="0"/>
        <v>Parcours (volailles ou porcs) [760]</v>
      </c>
    </row>
    <row r="48" spans="2:6" s="134" customFormat="1" ht="15" customHeight="1" x14ac:dyDescent="0.25">
      <c r="B48" s="233">
        <v>362</v>
      </c>
      <c r="C48" s="211" t="s">
        <v>883</v>
      </c>
      <c r="D48" s="220" t="s">
        <v>834</v>
      </c>
      <c r="F48" s="145" t="str">
        <f t="shared" si="0"/>
        <v>Petit épeautre [362]</v>
      </c>
    </row>
    <row r="49" spans="2:6" s="134" customFormat="1" ht="15" customHeight="1" x14ac:dyDescent="0.25">
      <c r="B49" s="233">
        <v>933</v>
      </c>
      <c r="C49" s="210" t="s">
        <v>884</v>
      </c>
      <c r="D49" s="219" t="s">
        <v>852</v>
      </c>
      <c r="F49" s="145" t="str">
        <f t="shared" si="0"/>
        <v>Pois chiches [933]</v>
      </c>
    </row>
    <row r="50" spans="2:6" s="134" customFormat="1" ht="15" customHeight="1" x14ac:dyDescent="0.25">
      <c r="B50" s="233">
        <v>511</v>
      </c>
      <c r="C50" s="210" t="s">
        <v>885</v>
      </c>
      <c r="D50" s="219" t="s">
        <v>852</v>
      </c>
      <c r="F50" s="145" t="str">
        <f t="shared" si="0"/>
        <v>Pois protéagineux d’hiver [511]</v>
      </c>
    </row>
    <row r="51" spans="2:6" s="134" customFormat="1" ht="15" customHeight="1" x14ac:dyDescent="0.25">
      <c r="B51" s="233">
        <v>512</v>
      </c>
      <c r="C51" s="210" t="s">
        <v>886</v>
      </c>
      <c r="D51" s="219" t="s">
        <v>852</v>
      </c>
      <c r="F51" s="145" t="str">
        <f t="shared" si="0"/>
        <v>Pois protéagineux de printemps [512]</v>
      </c>
    </row>
    <row r="52" spans="2:6" s="134" customFormat="1" ht="15" customHeight="1" x14ac:dyDescent="0.25">
      <c r="B52" s="233">
        <v>931</v>
      </c>
      <c r="C52" s="210" t="s">
        <v>887</v>
      </c>
      <c r="D52" s="219" t="s">
        <v>832</v>
      </c>
      <c r="F52" s="145" t="str">
        <f t="shared" si="0"/>
        <v>Pois récoltés à l’état frais, pois de conserverie [931]</v>
      </c>
    </row>
    <row r="53" spans="2:6" s="134" customFormat="1" ht="15" customHeight="1" x14ac:dyDescent="0.25">
      <c r="B53" s="233">
        <v>623</v>
      </c>
      <c r="C53" s="210" t="s">
        <v>888</v>
      </c>
      <c r="D53" s="219" t="s">
        <v>832</v>
      </c>
      <c r="F53" s="145" t="str">
        <f t="shared" si="0"/>
        <v>Prairie à vocation à devenir permanente pour les parcelles en MAEC et N2000 [623]</v>
      </c>
    </row>
    <row r="54" spans="2:6" s="134" customFormat="1" ht="28.9" customHeight="1" x14ac:dyDescent="0.25">
      <c r="B54" s="235">
        <v>678</v>
      </c>
      <c r="C54" s="218" t="s">
        <v>889</v>
      </c>
      <c r="D54" s="226" t="s">
        <v>890</v>
      </c>
      <c r="F54" s="145" t="str">
        <f t="shared" si="0"/>
        <v>Prairie permanente (50%&lt;taux de couverture &lt;= 90%), avec contrat d'aide complémentaire environnemental, hors rotation depuis 5 ans [678]</v>
      </c>
    </row>
    <row r="55" spans="2:6" s="134" customFormat="1" ht="15" customHeight="1" x14ac:dyDescent="0.25">
      <c r="B55" s="235">
        <v>670</v>
      </c>
      <c r="C55" s="218" t="s">
        <v>891</v>
      </c>
      <c r="D55" s="226" t="s">
        <v>890</v>
      </c>
      <c r="F55" s="145" t="str">
        <f t="shared" si="0"/>
        <v>Prairie permanente (50%&lt;taux de couverture &lt;= 90%), hors rotation depuis 5 ans [670]</v>
      </c>
    </row>
    <row r="56" spans="2:6" s="134" customFormat="1" ht="29.45" customHeight="1" x14ac:dyDescent="0.25">
      <c r="B56" s="235">
        <v>608</v>
      </c>
      <c r="C56" s="218" t="s">
        <v>892</v>
      </c>
      <c r="D56" s="226" t="s">
        <v>890</v>
      </c>
      <c r="F56" s="145" t="str">
        <f t="shared" si="0"/>
        <v>Prairie permanente (taux de couverture &lt;= 50%), avec contrat d'aide complémentaire environnemental, hors rotation depuis 5 ans [608]</v>
      </c>
    </row>
    <row r="57" spans="2:6" s="134" customFormat="1" ht="15" customHeight="1" x14ac:dyDescent="0.25">
      <c r="B57" s="235">
        <v>600</v>
      </c>
      <c r="C57" s="218" t="s">
        <v>893</v>
      </c>
      <c r="D57" s="226" t="s">
        <v>890</v>
      </c>
      <c r="F57" s="145" t="str">
        <f t="shared" si="0"/>
        <v>Prairie permanente (taux de couverture &lt;= 50%), hors rotation depuis 5 ans [600]</v>
      </c>
    </row>
    <row r="58" spans="2:6" s="134" customFormat="1" ht="29.45" customHeight="1" x14ac:dyDescent="0.25">
      <c r="B58" s="235">
        <v>618</v>
      </c>
      <c r="C58" s="218" t="s">
        <v>894</v>
      </c>
      <c r="D58" s="226" t="s">
        <v>890</v>
      </c>
      <c r="F58" s="145" t="str">
        <f t="shared" si="0"/>
        <v>Prairie permanente (taux de couverture &gt; 90%), avec contrat d'aide complémentaire environnemental, hors rotation depuis 5 ans [618]</v>
      </c>
    </row>
    <row r="59" spans="2:6" s="134" customFormat="1" ht="15" customHeight="1" x14ac:dyDescent="0.25">
      <c r="B59" s="235">
        <v>610</v>
      </c>
      <c r="C59" s="218" t="s">
        <v>895</v>
      </c>
      <c r="D59" s="226" t="s">
        <v>890</v>
      </c>
      <c r="F59" s="145" t="str">
        <f t="shared" si="0"/>
        <v>Prairie permanente (taux de couverture &gt; 90%), hors rotation depuis 5 ans [610]</v>
      </c>
    </row>
    <row r="60" spans="2:6" s="134" customFormat="1" ht="15" customHeight="1" x14ac:dyDescent="0.25">
      <c r="B60" s="233">
        <v>62</v>
      </c>
      <c r="C60" s="210" t="s">
        <v>896</v>
      </c>
      <c r="D60" s="219" t="s">
        <v>832</v>
      </c>
      <c r="F60" s="145" t="str">
        <f t="shared" si="0"/>
        <v>Prairie temporaire (plus de 50 % graminées) [62]</v>
      </c>
    </row>
    <row r="61" spans="2:6" s="134" customFormat="1" ht="15" customHeight="1" x14ac:dyDescent="0.25">
      <c r="B61" s="233">
        <v>382</v>
      </c>
      <c r="C61" s="211" t="s">
        <v>897</v>
      </c>
      <c r="D61" s="220" t="s">
        <v>834</v>
      </c>
      <c r="F61" s="145" t="str">
        <f t="shared" si="0"/>
        <v>Quinoa [382]</v>
      </c>
    </row>
    <row r="62" spans="2:6" s="134" customFormat="1" ht="15" customHeight="1" x14ac:dyDescent="0.25">
      <c r="B62" s="233">
        <v>58</v>
      </c>
      <c r="C62" s="211" t="s">
        <v>898</v>
      </c>
      <c r="D62" s="220" t="s">
        <v>864</v>
      </c>
      <c r="F62" s="145" t="str">
        <f t="shared" si="0"/>
        <v>Sainfoin (Onobrychis sativa) [58]</v>
      </c>
    </row>
    <row r="63" spans="2:6" s="134" customFormat="1" ht="15" customHeight="1" x14ac:dyDescent="0.25">
      <c r="B63" s="233">
        <v>37</v>
      </c>
      <c r="C63" s="211" t="s">
        <v>899</v>
      </c>
      <c r="D63" s="220" t="s">
        <v>834</v>
      </c>
      <c r="F63" s="145" t="str">
        <f t="shared" si="0"/>
        <v>Sarrasin [37]</v>
      </c>
    </row>
    <row r="64" spans="2:6" s="134" customFormat="1" ht="15" customHeight="1" x14ac:dyDescent="0.25">
      <c r="B64" s="233">
        <v>332</v>
      </c>
      <c r="C64" s="211" t="s">
        <v>900</v>
      </c>
      <c r="D64" s="220" t="s">
        <v>834</v>
      </c>
      <c r="F64" s="145" t="str">
        <f t="shared" si="0"/>
        <v>Seigle de printemps [332]</v>
      </c>
    </row>
    <row r="65" spans="2:6" s="134" customFormat="1" ht="15" customHeight="1" x14ac:dyDescent="0.25">
      <c r="B65" s="233">
        <v>748</v>
      </c>
      <c r="C65" s="210" t="s">
        <v>901</v>
      </c>
      <c r="D65" s="219" t="s">
        <v>832</v>
      </c>
      <c r="F65" s="145" t="str">
        <f t="shared" si="0"/>
        <v>Silphie [748]</v>
      </c>
    </row>
    <row r="66" spans="2:6" s="134" customFormat="1" ht="15" customHeight="1" x14ac:dyDescent="0.25">
      <c r="B66" s="233">
        <v>43</v>
      </c>
      <c r="C66" s="210" t="s">
        <v>902</v>
      </c>
      <c r="D66" s="219" t="s">
        <v>852</v>
      </c>
      <c r="F66" s="145" t="str">
        <f t="shared" si="0"/>
        <v>Soja [43]</v>
      </c>
    </row>
    <row r="67" spans="2:6" s="134" customFormat="1" ht="15" customHeight="1" x14ac:dyDescent="0.25">
      <c r="B67" s="233">
        <v>381</v>
      </c>
      <c r="C67" s="211" t="s">
        <v>903</v>
      </c>
      <c r="D67" s="220" t="s">
        <v>834</v>
      </c>
      <c r="F67" s="145" t="str">
        <f t="shared" si="0"/>
        <v>Sorgho [381]</v>
      </c>
    </row>
    <row r="68" spans="2:6" s="134" customFormat="1" ht="15" customHeight="1" x14ac:dyDescent="0.25">
      <c r="B68" s="233">
        <v>42</v>
      </c>
      <c r="C68" s="211" t="s">
        <v>904</v>
      </c>
      <c r="D68" s="220" t="s">
        <v>834</v>
      </c>
      <c r="F68" s="145" t="str">
        <f t="shared" ref="F68:F73" si="1">CONCATENATE(C68," ",,"[",B68,"]")</f>
        <v>Tournesol [42]</v>
      </c>
    </row>
    <row r="69" spans="2:6" s="134" customFormat="1" ht="15" customHeight="1" x14ac:dyDescent="0.25">
      <c r="B69" s="233">
        <v>751</v>
      </c>
      <c r="C69" s="211" t="s">
        <v>905</v>
      </c>
      <c r="D69" s="220" t="s">
        <v>836</v>
      </c>
      <c r="F69" s="145" t="str">
        <f t="shared" si="1"/>
        <v>Tournière enherbée MAEC MB5 [751]</v>
      </c>
    </row>
    <row r="70" spans="2:6" s="134" customFormat="1" ht="15" customHeight="1" x14ac:dyDescent="0.25">
      <c r="B70" s="233">
        <v>72</v>
      </c>
      <c r="C70" s="210" t="s">
        <v>906</v>
      </c>
      <c r="D70" s="219" t="s">
        <v>832</v>
      </c>
      <c r="F70" s="145" t="str">
        <f t="shared" si="1"/>
        <v>Trèfles [72]</v>
      </c>
    </row>
    <row r="71" spans="2:6" s="134" customFormat="1" ht="15" customHeight="1" x14ac:dyDescent="0.25">
      <c r="B71" s="233">
        <v>351</v>
      </c>
      <c r="C71" s="214" t="s">
        <v>907</v>
      </c>
      <c r="D71" s="223" t="s">
        <v>834</v>
      </c>
      <c r="F71" s="145" t="str">
        <f t="shared" si="1"/>
        <v>Triticale d’hiver [351]</v>
      </c>
    </row>
    <row r="72" spans="2:6" s="134" customFormat="1" ht="15" customHeight="1" x14ac:dyDescent="0.25">
      <c r="B72" s="233">
        <v>352</v>
      </c>
      <c r="C72" s="211" t="s">
        <v>908</v>
      </c>
      <c r="D72" s="220" t="s">
        <v>834</v>
      </c>
      <c r="F72" s="145" t="str">
        <f t="shared" si="1"/>
        <v>Triticale de printemps [352]</v>
      </c>
    </row>
    <row r="73" spans="2:6" s="134" customFormat="1" ht="15" customHeight="1" thickBot="1" x14ac:dyDescent="0.3">
      <c r="B73" s="236">
        <v>747</v>
      </c>
      <c r="C73" s="227" t="s">
        <v>909</v>
      </c>
      <c r="D73" s="228" t="s">
        <v>864</v>
      </c>
      <c r="F73" s="145" t="str">
        <f t="shared" si="1"/>
        <v>Vesce [747]</v>
      </c>
    </row>
    <row r="74" spans="2:6" x14ac:dyDescent="0.25">
      <c r="C74" s="146"/>
      <c r="D74" s="146"/>
    </row>
    <row r="75" spans="2:6" x14ac:dyDescent="0.25">
      <c r="C75" s="146"/>
      <c r="D75" s="146"/>
    </row>
    <row r="76" spans="2:6" x14ac:dyDescent="0.25">
      <c r="C76" s="146"/>
      <c r="D76" s="146"/>
    </row>
    <row r="77" spans="2:6" x14ac:dyDescent="0.25">
      <c r="C77" s="146"/>
      <c r="D77" s="146"/>
    </row>
    <row r="78" spans="2:6" x14ac:dyDescent="0.25">
      <c r="C78" s="146"/>
      <c r="D78" s="146"/>
    </row>
    <row r="79" spans="2:6" x14ac:dyDescent="0.25">
      <c r="C79" s="146"/>
      <c r="D79" s="146"/>
    </row>
    <row r="80" spans="2:6" x14ac:dyDescent="0.25">
      <c r="C80" s="146"/>
      <c r="D80" s="146"/>
    </row>
    <row r="81" spans="3:4" x14ac:dyDescent="0.25">
      <c r="C81" s="146"/>
      <c r="D81" s="146"/>
    </row>
  </sheetData>
  <sortState xmlns:xlrd2="http://schemas.microsoft.com/office/spreadsheetml/2017/richdata2" ref="B3:C85">
    <sortCondition ref="C2:C85"/>
  </sortState>
  <pageMargins left="0.7" right="0.7" top="0.75" bottom="0.75" header="0.3" footer="0.3"/>
  <pageSetup paperSize="9" orientation="portrait" r:id="rId1"/>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3A1B87A-2DDE-4583-9423-9BD0428B3940}">
  <sheetPr codeName="Feuil10">
    <pageSetUpPr fitToPage="1"/>
  </sheetPr>
  <dimension ref="A1:Q159"/>
  <sheetViews>
    <sheetView topLeftCell="B56" zoomScale="80" zoomScaleNormal="80" workbookViewId="0">
      <selection activeCell="A11" sqref="A11"/>
    </sheetView>
  </sheetViews>
  <sheetFormatPr baseColWidth="10" defaultColWidth="11.42578125" defaultRowHeight="15" x14ac:dyDescent="0.25"/>
  <cols>
    <col min="1" max="1" width="90.5703125" style="2" customWidth="1"/>
    <col min="2" max="2" width="12.140625" customWidth="1"/>
    <col min="3" max="3" width="107.28515625" customWidth="1"/>
    <col min="4" max="6" width="11.5703125"/>
    <col min="7" max="7" width="53.28515625" customWidth="1"/>
    <col min="10" max="10" width="87.7109375" customWidth="1"/>
    <col min="15" max="15" width="134.5703125" bestFit="1" customWidth="1"/>
    <col min="17" max="17" width="38.7109375" customWidth="1"/>
    <col min="18" max="18" width="79.140625" bestFit="1" customWidth="1"/>
  </cols>
  <sheetData>
    <row r="1" spans="1:17" x14ac:dyDescent="0.25">
      <c r="A1" s="192" t="s">
        <v>910</v>
      </c>
      <c r="C1" s="193" t="s">
        <v>911</v>
      </c>
      <c r="E1" s="34" t="s">
        <v>912</v>
      </c>
      <c r="G1" s="34" t="s">
        <v>913</v>
      </c>
      <c r="J1" t="s">
        <v>914</v>
      </c>
      <c r="O1" t="s">
        <v>915</v>
      </c>
      <c r="P1" t="s">
        <v>677</v>
      </c>
      <c r="Q1" t="s">
        <v>916</v>
      </c>
    </row>
    <row r="2" spans="1:17" x14ac:dyDescent="0.25">
      <c r="A2" s="189" t="s">
        <v>79</v>
      </c>
      <c r="C2" s="194" t="s">
        <v>784</v>
      </c>
      <c r="E2" t="s">
        <v>38</v>
      </c>
      <c r="G2" s="144" t="s">
        <v>917</v>
      </c>
      <c r="J2" t="str">
        <f>IF(Q2="",O2)</f>
        <v>Avoine d’hiver [341]</v>
      </c>
      <c r="O2" t="s">
        <v>680</v>
      </c>
      <c r="P2">
        <v>3</v>
      </c>
    </row>
    <row r="3" spans="1:17" x14ac:dyDescent="0.25">
      <c r="A3" s="189" t="s">
        <v>647</v>
      </c>
      <c r="C3" s="194" t="s">
        <v>785</v>
      </c>
      <c r="E3" t="s">
        <v>51</v>
      </c>
      <c r="G3" s="144" t="s">
        <v>918</v>
      </c>
      <c r="J3" t="str">
        <f>IF(Q3="",O3)</f>
        <v>Seigle d’hiver [331]</v>
      </c>
      <c r="O3" t="s">
        <v>121</v>
      </c>
      <c r="P3">
        <v>3</v>
      </c>
    </row>
    <row r="4" spans="1:17" x14ac:dyDescent="0.25">
      <c r="A4" s="189" t="s">
        <v>646</v>
      </c>
      <c r="C4" s="194" t="s">
        <v>788</v>
      </c>
      <c r="G4" s="143" t="s">
        <v>919</v>
      </c>
      <c r="J4" t="str">
        <f>IF(Q5="",O5)</f>
        <v>Orge d’hiver [321]</v>
      </c>
      <c r="O4" s="641" t="s">
        <v>98</v>
      </c>
      <c r="P4">
        <v>3</v>
      </c>
      <c r="Q4" t="s">
        <v>920</v>
      </c>
    </row>
    <row r="5" spans="1:17" x14ac:dyDescent="0.25">
      <c r="A5" s="189" t="s">
        <v>648</v>
      </c>
      <c r="C5" s="194" t="s">
        <v>789</v>
      </c>
      <c r="G5" s="143" t="s">
        <v>921</v>
      </c>
      <c r="J5" t="str">
        <f t="shared" ref="J5:J36" si="0">IF(Q28="",O28)</f>
        <v>Cultures fruitières annuelles - Fraises [9516]</v>
      </c>
      <c r="O5" t="s">
        <v>119</v>
      </c>
      <c r="P5">
        <v>3</v>
      </c>
    </row>
    <row r="6" spans="1:17" ht="16.899999999999999" customHeight="1" thickBot="1" x14ac:dyDescent="0.3">
      <c r="A6" t="s">
        <v>81</v>
      </c>
      <c r="C6" s="195" t="s">
        <v>86</v>
      </c>
      <c r="G6" s="143" t="s">
        <v>922</v>
      </c>
      <c r="J6" t="str">
        <f t="shared" si="0"/>
        <v>Cultures fruitières annuelles - Framboises [9717]</v>
      </c>
      <c r="O6" s="641" t="s">
        <v>681</v>
      </c>
      <c r="P6">
        <v>3</v>
      </c>
      <c r="Q6" t="s">
        <v>920</v>
      </c>
    </row>
    <row r="7" spans="1:17" ht="18" customHeight="1" x14ac:dyDescent="0.25">
      <c r="C7" s="195" t="s">
        <v>87</v>
      </c>
      <c r="E7" s="34" t="s">
        <v>923</v>
      </c>
      <c r="G7" s="143" t="s">
        <v>924</v>
      </c>
      <c r="J7" t="str">
        <f t="shared" si="0"/>
        <v>Cultures fruitière pluriannuelles-basses tiges ( plus de 250 arbres/ha)* [9741]</v>
      </c>
      <c r="O7" s="639" t="s">
        <v>682</v>
      </c>
      <c r="P7">
        <v>3</v>
      </c>
      <c r="Q7" t="s">
        <v>920</v>
      </c>
    </row>
    <row r="8" spans="1:17" x14ac:dyDescent="0.25">
      <c r="A8" s="193" t="s">
        <v>925</v>
      </c>
      <c r="C8" s="194" t="s">
        <v>783</v>
      </c>
      <c r="E8" t="s">
        <v>182</v>
      </c>
      <c r="G8" s="143" t="s">
        <v>926</v>
      </c>
      <c r="J8" t="str">
        <f t="shared" si="0"/>
        <v>cultures fruitières pluriannuelles (pommes) - basses tiges [9710]</v>
      </c>
      <c r="O8" s="641" t="s">
        <v>683</v>
      </c>
      <c r="P8">
        <v>3</v>
      </c>
      <c r="Q8" t="s">
        <v>920</v>
      </c>
    </row>
    <row r="9" spans="1:17" x14ac:dyDescent="0.25">
      <c r="A9" s="2" t="s">
        <v>103</v>
      </c>
      <c r="C9" s="194" t="s">
        <v>84</v>
      </c>
      <c r="E9">
        <v>2019</v>
      </c>
      <c r="G9" s="143" t="s">
        <v>927</v>
      </c>
      <c r="J9" t="str">
        <f t="shared" si="0"/>
        <v>cultures fruitières pluriannuelles (poires) - basses tiges [9711]</v>
      </c>
      <c r="O9" s="640" t="s">
        <v>684</v>
      </c>
      <c r="P9">
        <v>3</v>
      </c>
      <c r="Q9" t="s">
        <v>920</v>
      </c>
    </row>
    <row r="10" spans="1:17" x14ac:dyDescent="0.25">
      <c r="A10" s="2" t="s">
        <v>698</v>
      </c>
      <c r="C10" s="194" t="s">
        <v>85</v>
      </c>
      <c r="E10">
        <v>2020</v>
      </c>
      <c r="G10" s="143" t="s">
        <v>928</v>
      </c>
      <c r="J10" t="str">
        <f t="shared" si="0"/>
        <v>cultures fruitières pluriannuelles (prunes) - basses tiges [9713]</v>
      </c>
      <c r="O10" s="640" t="s">
        <v>93</v>
      </c>
      <c r="P10">
        <v>3</v>
      </c>
      <c r="Q10" t="s">
        <v>920</v>
      </c>
    </row>
    <row r="11" spans="1:17" x14ac:dyDescent="0.25">
      <c r="A11" s="2" t="s">
        <v>695</v>
      </c>
      <c r="C11" s="194" t="s">
        <v>787</v>
      </c>
      <c r="E11">
        <v>2021</v>
      </c>
      <c r="G11" s="143" t="s">
        <v>929</v>
      </c>
      <c r="J11" t="str">
        <f t="shared" si="0"/>
        <v>cultures fruitières pluriannuelles (cerises) - basses tiges [9725]</v>
      </c>
      <c r="O11" s="640" t="s">
        <v>685</v>
      </c>
      <c r="P11">
        <v>3</v>
      </c>
      <c r="Q11" t="s">
        <v>920</v>
      </c>
    </row>
    <row r="12" spans="1:17" x14ac:dyDescent="0.25">
      <c r="A12" s="2" t="s">
        <v>102</v>
      </c>
      <c r="C12" s="194" t="s">
        <v>786</v>
      </c>
      <c r="E12">
        <v>2022</v>
      </c>
      <c r="G12" s="143" t="s">
        <v>930</v>
      </c>
      <c r="J12" t="str">
        <f t="shared" si="0"/>
        <v>Cultures horticoles non-comestibles* [96]</v>
      </c>
      <c r="O12" s="640" t="s">
        <v>686</v>
      </c>
      <c r="P12">
        <v>3</v>
      </c>
      <c r="Q12" t="s">
        <v>920</v>
      </c>
    </row>
    <row r="13" spans="1:17" ht="15.75" thickBot="1" x14ac:dyDescent="0.3">
      <c r="G13" s="143" t="s">
        <v>356</v>
      </c>
      <c r="J13" t="str">
        <f t="shared" si="0"/>
        <v>Plantes aromatiques [953]</v>
      </c>
      <c r="O13" s="640" t="s">
        <v>687</v>
      </c>
      <c r="P13">
        <v>3</v>
      </c>
      <c r="Q13" t="s">
        <v>920</v>
      </c>
    </row>
    <row r="14" spans="1:17" ht="15" customHeight="1" thickBot="1" x14ac:dyDescent="0.3">
      <c r="C14" s="3" t="s">
        <v>931</v>
      </c>
      <c r="G14" s="143" t="s">
        <v>344</v>
      </c>
      <c r="J14" t="str">
        <f t="shared" si="0"/>
        <v>Plantes médicinales [957]</v>
      </c>
      <c r="O14" s="640" t="s">
        <v>91</v>
      </c>
      <c r="P14">
        <v>3</v>
      </c>
      <c r="Q14" t="s">
        <v>920</v>
      </c>
    </row>
    <row r="15" spans="1:17" ht="15" customHeight="1" x14ac:dyDescent="0.25">
      <c r="A15" s="1139" t="s">
        <v>932</v>
      </c>
      <c r="C15" s="639" t="s">
        <v>682</v>
      </c>
      <c r="G15" s="143" t="s">
        <v>933</v>
      </c>
      <c r="J15" t="str">
        <f t="shared" si="0"/>
        <v>Plantes vivaces ornementales de plein air [9584]</v>
      </c>
      <c r="O15" s="640" t="s">
        <v>688</v>
      </c>
      <c r="P15">
        <v>3</v>
      </c>
      <c r="Q15" t="s">
        <v>920</v>
      </c>
    </row>
    <row r="16" spans="1:17" ht="15" customHeight="1" x14ac:dyDescent="0.25">
      <c r="A16" s="100" t="s">
        <v>106</v>
      </c>
      <c r="C16" s="640" t="s">
        <v>686</v>
      </c>
      <c r="G16" s="143" t="s">
        <v>357</v>
      </c>
      <c r="J16" t="str">
        <f t="shared" si="0"/>
        <v>Vignes [9716]</v>
      </c>
      <c r="O16" s="640" t="s">
        <v>689</v>
      </c>
      <c r="P16">
        <v>3</v>
      </c>
      <c r="Q16" t="s">
        <v>920</v>
      </c>
    </row>
    <row r="17" spans="1:17" ht="15" customHeight="1" x14ac:dyDescent="0.25">
      <c r="A17" s="100" t="s">
        <v>107</v>
      </c>
      <c r="C17" s="641" t="s">
        <v>681</v>
      </c>
      <c r="G17" s="143" t="s">
        <v>358</v>
      </c>
      <c r="J17" t="str">
        <f t="shared" si="0"/>
        <v>Ortie [7431]</v>
      </c>
      <c r="O17" s="640" t="s">
        <v>690</v>
      </c>
      <c r="P17">
        <v>3</v>
      </c>
      <c r="Q17" t="s">
        <v>920</v>
      </c>
    </row>
    <row r="18" spans="1:17" ht="15" customHeight="1" x14ac:dyDescent="0.25">
      <c r="A18" s="100" t="s">
        <v>108</v>
      </c>
      <c r="C18" s="640" t="s">
        <v>93</v>
      </c>
      <c r="G18" s="143" t="s">
        <v>934</v>
      </c>
      <c r="J18" t="str">
        <f t="shared" si="0"/>
        <v>Angélique [881]</v>
      </c>
      <c r="O18" s="640" t="s">
        <v>691</v>
      </c>
      <c r="P18">
        <v>3</v>
      </c>
      <c r="Q18" t="s">
        <v>920</v>
      </c>
    </row>
    <row r="19" spans="1:17" ht="15" customHeight="1" x14ac:dyDescent="0.25">
      <c r="A19" s="1096" t="s">
        <v>109</v>
      </c>
      <c r="C19" s="640" t="s">
        <v>91</v>
      </c>
      <c r="J19" t="str">
        <f t="shared" si="0"/>
        <v>Houblon [9822]</v>
      </c>
      <c r="O19" s="640" t="s">
        <v>692</v>
      </c>
      <c r="P19">
        <v>3</v>
      </c>
      <c r="Q19" t="s">
        <v>920</v>
      </c>
    </row>
    <row r="20" spans="1:17" ht="15" customHeight="1" x14ac:dyDescent="0.25">
      <c r="A20" s="1096" t="s">
        <v>792</v>
      </c>
      <c r="C20" s="640" t="s">
        <v>687</v>
      </c>
      <c r="J20" t="str">
        <f t="shared" si="0"/>
        <v>Autres plantes ornementales sous serre [958]</v>
      </c>
      <c r="O20" s="640" t="s">
        <v>693</v>
      </c>
      <c r="P20">
        <v>3</v>
      </c>
      <c r="Q20" t="s">
        <v>920</v>
      </c>
    </row>
    <row r="21" spans="1:17" ht="15" customHeight="1" x14ac:dyDescent="0.25">
      <c r="A21" s="100" t="s">
        <v>110</v>
      </c>
      <c r="C21" s="641" t="s">
        <v>98</v>
      </c>
      <c r="J21" t="str">
        <f t="shared" si="0"/>
        <v>Autres cultures de légumes sous serre [9521]</v>
      </c>
      <c r="O21" t="s">
        <v>694</v>
      </c>
      <c r="P21">
        <v>3</v>
      </c>
      <c r="Q21" t="s">
        <v>920</v>
      </c>
    </row>
    <row r="22" spans="1:17" ht="15" customHeight="1" x14ac:dyDescent="0.25">
      <c r="A22" s="100" t="s">
        <v>644</v>
      </c>
      <c r="C22" s="640" t="s">
        <v>690</v>
      </c>
      <c r="G22" s="34" t="s">
        <v>935</v>
      </c>
      <c r="J22" t="str">
        <f t="shared" si="0"/>
        <v>Cultures permanentes sous serre* [885]</v>
      </c>
      <c r="O22" s="2" t="s">
        <v>695</v>
      </c>
      <c r="P22">
        <v>3</v>
      </c>
      <c r="Q22" t="s">
        <v>920</v>
      </c>
    </row>
    <row r="23" spans="1:17" ht="15" customHeight="1" thickBot="1" x14ac:dyDescent="0.3">
      <c r="A23" s="100" t="s">
        <v>645</v>
      </c>
      <c r="C23" s="640" t="s">
        <v>689</v>
      </c>
      <c r="G23" s="99" t="s">
        <v>928</v>
      </c>
      <c r="J23" t="str">
        <f t="shared" si="0"/>
        <v>Fleurs et plantes ornementales sous serre [9588]</v>
      </c>
      <c r="O23" s="642" t="s">
        <v>696</v>
      </c>
      <c r="P23">
        <v>3</v>
      </c>
      <c r="Q23" t="s">
        <v>920</v>
      </c>
    </row>
    <row r="24" spans="1:17" ht="15" customHeight="1" x14ac:dyDescent="0.25">
      <c r="A24" s="102"/>
      <c r="C24" s="640" t="s">
        <v>684</v>
      </c>
      <c r="G24" s="99" t="s">
        <v>929</v>
      </c>
      <c r="J24" t="str">
        <f t="shared" si="0"/>
        <v>Cultures fruitières annuelles- Fraises sous serres [8516]</v>
      </c>
      <c r="O24" s="641" t="s">
        <v>90</v>
      </c>
      <c r="P24">
        <v>3</v>
      </c>
      <c r="Q24" t="s">
        <v>920</v>
      </c>
    </row>
    <row r="25" spans="1:17" ht="15" customHeight="1" x14ac:dyDescent="0.25">
      <c r="C25" s="641" t="s">
        <v>683</v>
      </c>
      <c r="G25" s="99" t="s">
        <v>930</v>
      </c>
      <c r="J25" t="str">
        <f t="shared" si="0"/>
        <v>Autres légumes plein air [951]</v>
      </c>
      <c r="O25" t="s">
        <v>697</v>
      </c>
      <c r="P25">
        <v>2</v>
      </c>
      <c r="Q25" t="s">
        <v>920</v>
      </c>
    </row>
    <row r="26" spans="1:17" ht="15" customHeight="1" x14ac:dyDescent="0.25">
      <c r="C26" s="641" t="s">
        <v>90</v>
      </c>
      <c r="G26" s="99" t="s">
        <v>356</v>
      </c>
      <c r="J26" t="str">
        <f t="shared" si="0"/>
        <v>Autres plantes ornementales de plein air* [954]</v>
      </c>
      <c r="O26" s="2" t="s">
        <v>103</v>
      </c>
      <c r="P26">
        <v>2</v>
      </c>
      <c r="Q26" t="s">
        <v>920</v>
      </c>
    </row>
    <row r="27" spans="1:17" ht="15" customHeight="1" x14ac:dyDescent="0.25">
      <c r="C27" s="640" t="s">
        <v>774</v>
      </c>
      <c r="G27" s="99" t="s">
        <v>344</v>
      </c>
      <c r="J27" t="str">
        <f t="shared" si="0"/>
        <v>Asperges (consommation au frais) [9511]</v>
      </c>
      <c r="O27" s="2" t="s">
        <v>698</v>
      </c>
      <c r="P27">
        <v>3</v>
      </c>
      <c r="Q27" t="s">
        <v>920</v>
      </c>
    </row>
    <row r="28" spans="1:17" ht="15" customHeight="1" x14ac:dyDescent="0.25">
      <c r="C28" s="640" t="s">
        <v>773</v>
      </c>
      <c r="G28" s="99" t="s">
        <v>357</v>
      </c>
      <c r="J28" t="str">
        <f t="shared" si="0"/>
        <v>Asperges (transformation industrielle) [8511]</v>
      </c>
      <c r="O28" t="s">
        <v>699</v>
      </c>
      <c r="P28">
        <v>4</v>
      </c>
    </row>
    <row r="29" spans="1:17" ht="15" customHeight="1" x14ac:dyDescent="0.25">
      <c r="C29" s="640" t="s">
        <v>685</v>
      </c>
      <c r="G29" s="99" t="s">
        <v>358</v>
      </c>
      <c r="J29" t="str">
        <f t="shared" si="0"/>
        <v>Brocolis [9525]</v>
      </c>
      <c r="O29" t="s">
        <v>700</v>
      </c>
      <c r="P29">
        <v>4</v>
      </c>
    </row>
    <row r="30" spans="1:17" ht="15" customHeight="1" x14ac:dyDescent="0.25">
      <c r="A30" s="1140" t="s">
        <v>936</v>
      </c>
      <c r="C30" s="640" t="s">
        <v>693</v>
      </c>
      <c r="G30" s="100" t="s">
        <v>937</v>
      </c>
      <c r="J30" t="str">
        <f t="shared" si="0"/>
        <v>Carotte ( non hâtive) [9535]</v>
      </c>
      <c r="O30" t="s">
        <v>701</v>
      </c>
      <c r="P30">
        <v>4</v>
      </c>
    </row>
    <row r="31" spans="1:17" ht="15" customHeight="1" x14ac:dyDescent="0.25">
      <c r="A31" s="198" t="s">
        <v>113</v>
      </c>
      <c r="C31" s="640" t="s">
        <v>688</v>
      </c>
      <c r="J31" t="str">
        <f t="shared" si="0"/>
        <v>Carotte ( hâtive) [9564]</v>
      </c>
      <c r="O31" t="s">
        <v>702</v>
      </c>
      <c r="P31">
        <v>4</v>
      </c>
    </row>
    <row r="32" spans="1:17" ht="15" customHeight="1" x14ac:dyDescent="0.25">
      <c r="A32" s="198" t="s">
        <v>649</v>
      </c>
      <c r="C32" s="640" t="s">
        <v>691</v>
      </c>
      <c r="G32" s="34" t="s">
        <v>938</v>
      </c>
      <c r="J32" t="str">
        <f t="shared" si="0"/>
        <v>Céleri-branche [9551]</v>
      </c>
      <c r="O32" t="s">
        <v>703</v>
      </c>
      <c r="P32">
        <v>4</v>
      </c>
    </row>
    <row r="33" spans="1:16" ht="15" customHeight="1" x14ac:dyDescent="0.25">
      <c r="C33" s="640" t="s">
        <v>692</v>
      </c>
      <c r="G33" s="99" t="s">
        <v>928</v>
      </c>
      <c r="J33" t="str">
        <f t="shared" si="0"/>
        <v>Céleri-rave [9543]</v>
      </c>
      <c r="O33" t="s">
        <v>704</v>
      </c>
      <c r="P33">
        <v>4</v>
      </c>
    </row>
    <row r="34" spans="1:16" ht="15" customHeight="1" thickBot="1" x14ac:dyDescent="0.3">
      <c r="C34" s="642" t="s">
        <v>696</v>
      </c>
      <c r="G34" s="99" t="s">
        <v>929</v>
      </c>
      <c r="J34" t="str">
        <f t="shared" si="0"/>
        <v>Céleri vert [8548]</v>
      </c>
      <c r="O34" t="s">
        <v>705</v>
      </c>
      <c r="P34">
        <v>4</v>
      </c>
    </row>
    <row r="35" spans="1:16" ht="15" customHeight="1" x14ac:dyDescent="0.25">
      <c r="G35" s="99" t="s">
        <v>930</v>
      </c>
      <c r="J35" t="str">
        <f t="shared" si="0"/>
        <v>Cerfeuil [860]</v>
      </c>
      <c r="O35" t="s">
        <v>706</v>
      </c>
      <c r="P35">
        <v>4</v>
      </c>
    </row>
    <row r="36" spans="1:16" ht="15" customHeight="1" x14ac:dyDescent="0.25">
      <c r="A36" s="102"/>
      <c r="G36" s="99" t="s">
        <v>356</v>
      </c>
      <c r="J36" t="str">
        <f t="shared" si="0"/>
        <v>Champignons [9536]</v>
      </c>
      <c r="O36" t="s">
        <v>707</v>
      </c>
      <c r="P36">
        <v>4</v>
      </c>
    </row>
    <row r="37" spans="1:16" ht="15" customHeight="1" x14ac:dyDescent="0.25">
      <c r="A37" s="1141" t="s">
        <v>939</v>
      </c>
      <c r="C37" s="12"/>
      <c r="G37" s="99" t="s">
        <v>344</v>
      </c>
      <c r="J37" t="str">
        <f t="shared" ref="J37:J68" si="1">IF(Q60="",O60)</f>
        <v>Chou-rave [9529]</v>
      </c>
      <c r="O37" t="s">
        <v>708</v>
      </c>
      <c r="P37">
        <v>4</v>
      </c>
    </row>
    <row r="38" spans="1:16" x14ac:dyDescent="0.25">
      <c r="A38" s="1142" t="s">
        <v>940</v>
      </c>
      <c r="G38" s="99" t="s">
        <v>357</v>
      </c>
      <c r="J38" t="str">
        <f t="shared" si="1"/>
        <v>Chou de Bruxelles [9512]</v>
      </c>
      <c r="O38" t="s">
        <v>709</v>
      </c>
      <c r="P38">
        <v>4</v>
      </c>
    </row>
    <row r="39" spans="1:16" x14ac:dyDescent="0.25">
      <c r="A39" s="1142" t="s">
        <v>941</v>
      </c>
      <c r="G39" s="99" t="s">
        <v>358</v>
      </c>
      <c r="J39" t="str">
        <f t="shared" si="1"/>
        <v>Chou-fleur [9523]</v>
      </c>
      <c r="O39" t="s">
        <v>710</v>
      </c>
      <c r="P39">
        <v>4</v>
      </c>
    </row>
    <row r="40" spans="1:16" ht="15.75" thickBot="1" x14ac:dyDescent="0.3">
      <c r="A40" s="1142" t="s">
        <v>942</v>
      </c>
      <c r="D40" t="s">
        <v>943</v>
      </c>
      <c r="J40" t="str">
        <f t="shared" si="1"/>
        <v>Choux – légumes (consommation au frais) [9548]</v>
      </c>
      <c r="O40" t="s">
        <v>711</v>
      </c>
      <c r="P40">
        <v>4</v>
      </c>
    </row>
    <row r="41" spans="1:16" ht="15.75" thickBot="1" x14ac:dyDescent="0.3">
      <c r="A41" s="1142" t="s">
        <v>944</v>
      </c>
      <c r="C41" s="13" t="s">
        <v>928</v>
      </c>
      <c r="D41" t="s">
        <v>945</v>
      </c>
      <c r="J41" t="str">
        <f t="shared" si="1"/>
        <v>Choux rouge [9527]</v>
      </c>
      <c r="O41" t="s">
        <v>712</v>
      </c>
      <c r="P41">
        <v>4</v>
      </c>
    </row>
    <row r="42" spans="1:16" ht="15.75" thickBot="1" x14ac:dyDescent="0.3">
      <c r="A42" s="1142" t="s">
        <v>946</v>
      </c>
      <c r="C42" s="13" t="s">
        <v>929</v>
      </c>
      <c r="D42" t="s">
        <v>945</v>
      </c>
      <c r="J42" t="str">
        <f t="shared" si="1"/>
        <v>Chou blanc [9540]</v>
      </c>
      <c r="O42" t="s">
        <v>713</v>
      </c>
      <c r="P42">
        <v>4</v>
      </c>
    </row>
    <row r="43" spans="1:16" ht="15.75" thickBot="1" x14ac:dyDescent="0.3">
      <c r="A43" s="1142" t="s">
        <v>947</v>
      </c>
      <c r="C43" s="13" t="s">
        <v>930</v>
      </c>
      <c r="D43" t="s">
        <v>945</v>
      </c>
      <c r="J43" t="str">
        <f t="shared" si="1"/>
        <v>Chou frisé [9524]</v>
      </c>
      <c r="O43" t="s">
        <v>714</v>
      </c>
      <c r="P43">
        <v>4</v>
      </c>
    </row>
    <row r="44" spans="1:16" ht="15.75" thickBot="1" x14ac:dyDescent="0.3">
      <c r="A44" s="1142" t="s">
        <v>790</v>
      </c>
      <c r="C44" s="13" t="s">
        <v>356</v>
      </c>
      <c r="D44" t="s">
        <v>945</v>
      </c>
      <c r="J44" t="str">
        <f t="shared" si="1"/>
        <v>Chou de Milan [9546]</v>
      </c>
      <c r="O44" t="s">
        <v>715</v>
      </c>
      <c r="P44">
        <v>4</v>
      </c>
    </row>
    <row r="45" spans="1:16" ht="15.75" thickBot="1" x14ac:dyDescent="0.3">
      <c r="A45" s="1142" t="s">
        <v>948</v>
      </c>
      <c r="C45" s="13" t="s">
        <v>917</v>
      </c>
      <c r="D45" t="s">
        <v>349</v>
      </c>
      <c r="J45" t="str">
        <f t="shared" si="1"/>
        <v>Chou chinois [9526]</v>
      </c>
      <c r="O45" t="s">
        <v>716</v>
      </c>
      <c r="P45">
        <v>4</v>
      </c>
    </row>
    <row r="46" spans="1:16" ht="15.75" thickBot="1" x14ac:dyDescent="0.3">
      <c r="A46" s="1142" t="s">
        <v>792</v>
      </c>
      <c r="C46" s="13" t="s">
        <v>344</v>
      </c>
      <c r="D46" t="s">
        <v>945</v>
      </c>
      <c r="J46" t="str">
        <f t="shared" si="1"/>
        <v>Concombre [9554]</v>
      </c>
      <c r="O46" t="s">
        <v>717</v>
      </c>
      <c r="P46">
        <v>4</v>
      </c>
    </row>
    <row r="47" spans="1:16" ht="15.75" thickBot="1" x14ac:dyDescent="0.3">
      <c r="A47" s="1142" t="s">
        <v>949</v>
      </c>
      <c r="C47" s="13" t="s">
        <v>933</v>
      </c>
      <c r="D47" t="s">
        <v>349</v>
      </c>
      <c r="J47" t="str">
        <f t="shared" si="1"/>
        <v>Courgettes ( consommation au frais) [9541]</v>
      </c>
      <c r="O47" t="s">
        <v>718</v>
      </c>
      <c r="P47">
        <v>4</v>
      </c>
    </row>
    <row r="48" spans="1:16" ht="15.75" thickBot="1" x14ac:dyDescent="0.3">
      <c r="A48" s="1142" t="s">
        <v>950</v>
      </c>
      <c r="C48" s="13" t="s">
        <v>357</v>
      </c>
      <c r="D48" t="s">
        <v>945</v>
      </c>
      <c r="J48" t="str">
        <f t="shared" si="1"/>
        <v>Courges butternut [9456]</v>
      </c>
      <c r="O48" t="s">
        <v>719</v>
      </c>
      <c r="P48">
        <v>4</v>
      </c>
    </row>
    <row r="49" spans="1:16" ht="15.75" thickBot="1" x14ac:dyDescent="0.3">
      <c r="A49" s="100" t="s">
        <v>782</v>
      </c>
      <c r="C49" s="13" t="s">
        <v>358</v>
      </c>
      <c r="D49" t="s">
        <v>945</v>
      </c>
      <c r="J49" t="str">
        <f t="shared" si="1"/>
        <v>Echalotes [9513]</v>
      </c>
      <c r="O49" t="s">
        <v>720</v>
      </c>
      <c r="P49">
        <v>4</v>
      </c>
    </row>
    <row r="50" spans="1:16" ht="15.75" thickBot="1" x14ac:dyDescent="0.3">
      <c r="A50" s="100" t="s">
        <v>781</v>
      </c>
      <c r="C50" s="159" t="s">
        <v>353</v>
      </c>
      <c r="D50" t="s">
        <v>951</v>
      </c>
      <c r="J50" t="str">
        <f t="shared" si="1"/>
        <v>Endives de Bruxelles (pour la racine) (transformation industrielle) [8561]</v>
      </c>
      <c r="O50" t="s">
        <v>721</v>
      </c>
      <c r="P50">
        <v>4</v>
      </c>
    </row>
    <row r="51" spans="1:16" ht="15.75" thickBot="1" x14ac:dyDescent="0.3">
      <c r="A51" s="1096"/>
      <c r="C51" s="159" t="s">
        <v>352</v>
      </c>
      <c r="D51" t="s">
        <v>349</v>
      </c>
      <c r="J51" t="str">
        <f t="shared" si="1"/>
        <v>Endives (chicons) [9515]</v>
      </c>
      <c r="O51" t="s">
        <v>722</v>
      </c>
      <c r="P51">
        <v>4</v>
      </c>
    </row>
    <row r="52" spans="1:16" ht="15.75" thickBot="1" x14ac:dyDescent="0.3">
      <c r="C52" s="13" t="s">
        <v>922</v>
      </c>
      <c r="D52" t="s">
        <v>349</v>
      </c>
      <c r="J52" t="str">
        <f t="shared" si="1"/>
        <v>Epinards [9519]</v>
      </c>
      <c r="O52" t="s">
        <v>723</v>
      </c>
      <c r="P52">
        <v>4</v>
      </c>
    </row>
    <row r="53" spans="1:16" ht="15.75" thickBot="1" x14ac:dyDescent="0.3">
      <c r="C53" s="13" t="s">
        <v>926</v>
      </c>
      <c r="D53" t="s">
        <v>349</v>
      </c>
      <c r="J53" t="str">
        <f t="shared" si="1"/>
        <v>Fenouil ( de Florence) [9534]</v>
      </c>
      <c r="O53" t="s">
        <v>724</v>
      </c>
      <c r="P53">
        <v>4</v>
      </c>
    </row>
    <row r="54" spans="1:16" ht="15.75" thickBot="1" x14ac:dyDescent="0.3">
      <c r="C54" s="13" t="s">
        <v>918</v>
      </c>
      <c r="D54" t="s">
        <v>945</v>
      </c>
      <c r="J54" t="str">
        <f t="shared" si="1"/>
        <v>Laitues pommées [9518]</v>
      </c>
      <c r="O54" t="s">
        <v>725</v>
      </c>
      <c r="P54">
        <v>4</v>
      </c>
    </row>
    <row r="55" spans="1:16" ht="15.75" thickBot="1" x14ac:dyDescent="0.3">
      <c r="C55" s="13" t="s">
        <v>924</v>
      </c>
      <c r="D55" t="s">
        <v>945</v>
      </c>
      <c r="J55" t="str">
        <f t="shared" si="1"/>
        <v>Navette [9530]</v>
      </c>
      <c r="O55" t="s">
        <v>726</v>
      </c>
      <c r="P55">
        <v>4</v>
      </c>
    </row>
    <row r="56" spans="1:16" ht="15.75" thickBot="1" x14ac:dyDescent="0.3">
      <c r="C56" s="13" t="s">
        <v>921</v>
      </c>
      <c r="D56" t="s">
        <v>945</v>
      </c>
      <c r="J56" t="str">
        <f t="shared" si="1"/>
        <v>Oignons (hâtifs) [9563]</v>
      </c>
      <c r="O56" t="s">
        <v>727</v>
      </c>
      <c r="P56">
        <v>4</v>
      </c>
    </row>
    <row r="57" spans="1:16" ht="15.75" thickBot="1" x14ac:dyDescent="0.3">
      <c r="C57" s="13" t="s">
        <v>927</v>
      </c>
      <c r="D57" t="s">
        <v>349</v>
      </c>
      <c r="J57" t="str">
        <f t="shared" si="1"/>
        <v>Oignons (non hâtifs) [9514]</v>
      </c>
      <c r="O57" t="s">
        <v>728</v>
      </c>
      <c r="P57">
        <v>4</v>
      </c>
    </row>
    <row r="58" spans="1:16" ht="15.75" thickBot="1" x14ac:dyDescent="0.3">
      <c r="C58" s="13" t="s">
        <v>934</v>
      </c>
      <c r="D58" t="s">
        <v>349</v>
      </c>
      <c r="J58" t="str">
        <f t="shared" si="1"/>
        <v>Persil [959]</v>
      </c>
      <c r="O58" t="s">
        <v>729</v>
      </c>
      <c r="P58">
        <v>4</v>
      </c>
    </row>
    <row r="59" spans="1:16" ht="15.75" thickBot="1" x14ac:dyDescent="0.3">
      <c r="C59" s="13" t="s">
        <v>919</v>
      </c>
      <c r="D59" t="s">
        <v>349</v>
      </c>
      <c r="J59" t="str">
        <f t="shared" si="1"/>
        <v>Persil à grosse racine [961]</v>
      </c>
      <c r="O59" t="s">
        <v>730</v>
      </c>
      <c r="P59">
        <v>4</v>
      </c>
    </row>
    <row r="60" spans="1:16" ht="15.75" thickBot="1" x14ac:dyDescent="0.3">
      <c r="C60" s="159" t="s">
        <v>952</v>
      </c>
      <c r="D60" t="s">
        <v>349</v>
      </c>
      <c r="J60" t="str">
        <f t="shared" si="1"/>
        <v>Poireau [9538]</v>
      </c>
      <c r="O60" t="s">
        <v>731</v>
      </c>
      <c r="P60">
        <v>4</v>
      </c>
    </row>
    <row r="61" spans="1:16" x14ac:dyDescent="0.25">
      <c r="C61" s="597" t="s">
        <v>953</v>
      </c>
      <c r="J61" t="str">
        <f t="shared" si="1"/>
        <v>Rhubarbe ( consommation au frais) [9517]</v>
      </c>
      <c r="O61" t="s">
        <v>732</v>
      </c>
      <c r="P61">
        <v>4</v>
      </c>
    </row>
    <row r="62" spans="1:16" x14ac:dyDescent="0.25">
      <c r="J62" t="str">
        <f t="shared" si="1"/>
        <v>Rhubarbe ( transformation industrielle) [8517]</v>
      </c>
      <c r="O62" t="s">
        <v>733</v>
      </c>
      <c r="P62">
        <v>4</v>
      </c>
    </row>
    <row r="63" spans="1:16" x14ac:dyDescent="0.25">
      <c r="J63" t="str">
        <f t="shared" si="1"/>
        <v>Scaroles (consommation au frais) [9537]</v>
      </c>
      <c r="O63" t="s">
        <v>734</v>
      </c>
      <c r="P63">
        <v>4</v>
      </c>
    </row>
    <row r="64" spans="1:16" x14ac:dyDescent="0.25">
      <c r="J64" t="str">
        <f t="shared" si="1"/>
        <v>Scorsonère [9533]</v>
      </c>
      <c r="O64" t="s">
        <v>735</v>
      </c>
      <c r="P64">
        <v>4</v>
      </c>
    </row>
    <row r="65" spans="10:16" x14ac:dyDescent="0.25">
      <c r="J65" t="str">
        <f t="shared" si="1"/>
        <v>Tomates [9552]</v>
      </c>
      <c r="O65" t="s">
        <v>736</v>
      </c>
      <c r="P65">
        <v>4</v>
      </c>
    </row>
    <row r="66" spans="10:16" x14ac:dyDescent="0.25">
      <c r="J66" t="str">
        <f t="shared" si="1"/>
        <v>Petit Maraichage diversifié en BIO [967]</v>
      </c>
      <c r="O66" t="s">
        <v>737</v>
      </c>
      <c r="P66">
        <v>4</v>
      </c>
    </row>
    <row r="67" spans="10:16" x14ac:dyDescent="0.25">
      <c r="J67" t="str">
        <f t="shared" si="1"/>
        <v>Pépinières de plants forestiers [9560]</v>
      </c>
      <c r="O67" t="s">
        <v>738</v>
      </c>
      <c r="P67">
        <v>4</v>
      </c>
    </row>
    <row r="68" spans="10:16" x14ac:dyDescent="0.25">
      <c r="J68" t="str">
        <f t="shared" si="1"/>
        <v>Pépinières de plants fruitiers ou de plantes ornementales [9520]</v>
      </c>
      <c r="O68" t="s">
        <v>739</v>
      </c>
      <c r="P68">
        <v>4</v>
      </c>
    </row>
    <row r="69" spans="10:16" x14ac:dyDescent="0.25">
      <c r="J69" t="str">
        <f t="shared" ref="J69:J81" si="2">IF(Q92="",O92)</f>
        <v>Pomme de terre (plants) [902]</v>
      </c>
      <c r="O69" t="s">
        <v>740</v>
      </c>
      <c r="P69">
        <v>4</v>
      </c>
    </row>
    <row r="70" spans="10:16" x14ac:dyDescent="0.25">
      <c r="J70" t="str">
        <f t="shared" si="2"/>
        <v>Multiplication de semences en mode de production [821]</v>
      </c>
      <c r="O70" t="s">
        <v>741</v>
      </c>
      <c r="P70">
        <v>4</v>
      </c>
    </row>
    <row r="71" spans="10:16" x14ac:dyDescent="0.25">
      <c r="J71" t="str">
        <f t="shared" si="2"/>
        <v>Plants de fraisiers de plein air [9724]</v>
      </c>
      <c r="O71" t="s">
        <v>742</v>
      </c>
      <c r="P71">
        <v>4</v>
      </c>
    </row>
    <row r="72" spans="10:16" x14ac:dyDescent="0.25">
      <c r="J72" t="str">
        <f t="shared" si="2"/>
        <v>Cultures fruitière pluriannuelles-hautes tiges ( de 50 à 250 arbres/ha) [9742]</v>
      </c>
      <c r="O72" t="s">
        <v>743</v>
      </c>
      <c r="P72">
        <v>4</v>
      </c>
    </row>
    <row r="73" spans="10:16" x14ac:dyDescent="0.25">
      <c r="J73" t="str">
        <f t="shared" si="2"/>
        <v>Cultures fruitières pluriannuelles - hautes tiges [9726-9730-9731-9732]</v>
      </c>
      <c r="O73" t="s">
        <v>744</v>
      </c>
      <c r="P73">
        <v>4</v>
      </c>
    </row>
    <row r="74" spans="10:16" x14ac:dyDescent="0.25">
      <c r="J74" t="str">
        <f t="shared" si="2"/>
        <v>Noisetier [9201]</v>
      </c>
      <c r="O74" t="s">
        <v>745</v>
      </c>
      <c r="P74">
        <v>4</v>
      </c>
    </row>
    <row r="75" spans="10:16" x14ac:dyDescent="0.25">
      <c r="J75" t="str">
        <f t="shared" si="2"/>
        <v>Noyer [9202]</v>
      </c>
      <c r="O75" t="s">
        <v>746</v>
      </c>
      <c r="P75">
        <v>4</v>
      </c>
    </row>
    <row r="76" spans="10:16" x14ac:dyDescent="0.25">
      <c r="J76" t="str">
        <f t="shared" si="2"/>
        <v>Colza d’hiver [4111]</v>
      </c>
      <c r="O76" t="s">
        <v>747</v>
      </c>
      <c r="P76">
        <v>4</v>
      </c>
    </row>
    <row r="77" spans="10:16" x14ac:dyDescent="0.25">
      <c r="J77" t="str">
        <f t="shared" si="2"/>
        <v>Navette d’hiver (graines) [4112]</v>
      </c>
      <c r="O77" t="s">
        <v>748</v>
      </c>
      <c r="P77">
        <v>4</v>
      </c>
    </row>
    <row r="78" spans="10:16" x14ac:dyDescent="0.25">
      <c r="J78" t="str">
        <f t="shared" si="2"/>
        <v>Colza de printemps [4121]</v>
      </c>
      <c r="O78" t="s">
        <v>749</v>
      </c>
      <c r="P78">
        <v>4</v>
      </c>
    </row>
    <row r="79" spans="10:16" x14ac:dyDescent="0.25">
      <c r="J79" t="str">
        <f t="shared" si="2"/>
        <v>Navette de printemps (graines) [4122]</v>
      </c>
      <c r="O79" t="s">
        <v>750</v>
      </c>
      <c r="P79">
        <v>4</v>
      </c>
    </row>
    <row r="80" spans="10:16" x14ac:dyDescent="0.25">
      <c r="J80" t="str">
        <f t="shared" si="2"/>
        <v>Lin oléagineux [45]</v>
      </c>
      <c r="O80" t="s">
        <v>751</v>
      </c>
      <c r="P80">
        <v>4</v>
      </c>
    </row>
    <row r="81" spans="10:16" x14ac:dyDescent="0.25">
      <c r="J81" t="str">
        <f t="shared" si="2"/>
        <v>Autres oléagineux ou mélange avec oléagineux prépondérants (plus de 50%) [46]</v>
      </c>
      <c r="O81" t="s">
        <v>752</v>
      </c>
      <c r="P81">
        <v>4</v>
      </c>
    </row>
    <row r="82" spans="10:16" x14ac:dyDescent="0.25">
      <c r="J82" t="str">
        <f>IF(Q107="",O107)</f>
        <v>Lin textile d'hiver [921]</v>
      </c>
      <c r="O82" t="s">
        <v>753</v>
      </c>
      <c r="P82">
        <v>4</v>
      </c>
    </row>
    <row r="83" spans="10:16" x14ac:dyDescent="0.25">
      <c r="J83" t="str">
        <f>IF(Q108="",O108)</f>
        <v>Lin textile de printemps [923]</v>
      </c>
      <c r="O83" t="s">
        <v>754</v>
      </c>
      <c r="P83">
        <v>4</v>
      </c>
    </row>
    <row r="84" spans="10:16" x14ac:dyDescent="0.25">
      <c r="J84" t="str">
        <f>IF(Q109="",O109)</f>
        <v>Pomme de terre (non hâtives) [901]</v>
      </c>
      <c r="O84" t="s">
        <v>755</v>
      </c>
      <c r="P84">
        <v>4</v>
      </c>
    </row>
    <row r="85" spans="10:16" x14ac:dyDescent="0.25">
      <c r="J85" t="str">
        <f>IF(Q110="",O110)</f>
        <v>Pomme de terre féculière [903]</v>
      </c>
      <c r="O85" t="s">
        <v>756</v>
      </c>
      <c r="P85">
        <v>4</v>
      </c>
    </row>
    <row r="86" spans="10:16" x14ac:dyDescent="0.25">
      <c r="J86" t="str">
        <f t="shared" ref="J86:J87" si="3">IF(Q111="",O111)</f>
        <v>Pomme de terre hâtives [904]</v>
      </c>
      <c r="O86" t="s">
        <v>757</v>
      </c>
      <c r="P86">
        <v>4</v>
      </c>
    </row>
    <row r="87" spans="10:16" x14ac:dyDescent="0.25">
      <c r="J87" t="str">
        <f t="shared" si="3"/>
        <v>Pomme de terre (primeur, arrachage avant le 20 juin) [905]</v>
      </c>
      <c r="O87" t="s">
        <v>758</v>
      </c>
      <c r="P87">
        <v>4</v>
      </c>
    </row>
    <row r="88" spans="10:16" x14ac:dyDescent="0.25">
      <c r="J88" t="str">
        <f>IF(Q115="",O115)</f>
        <v>Carottes fourragères [742]</v>
      </c>
      <c r="O88" t="s">
        <v>759</v>
      </c>
      <c r="P88">
        <v>4</v>
      </c>
    </row>
    <row r="89" spans="10:16" x14ac:dyDescent="0.25">
      <c r="J89" t="str">
        <f>IF(Q116="",O116)</f>
        <v>Navets fourragers [746]</v>
      </c>
      <c r="O89" t="s">
        <v>122</v>
      </c>
      <c r="P89">
        <v>5</v>
      </c>
    </row>
    <row r="90" spans="10:16" x14ac:dyDescent="0.25">
      <c r="J90" t="str">
        <f>IF(Q138="",O138)</f>
        <v>Pois récoltés à l’état frais, pois de conserverie [931]</v>
      </c>
      <c r="O90" t="s">
        <v>760</v>
      </c>
      <c r="P90">
        <v>4</v>
      </c>
    </row>
    <row r="91" spans="10:16" x14ac:dyDescent="0.25">
      <c r="J91" t="str">
        <f>IF(Q139="",O139)</f>
        <v>Haricots [9410]</v>
      </c>
      <c r="O91" t="s">
        <v>761</v>
      </c>
      <c r="P91">
        <v>4</v>
      </c>
    </row>
    <row r="92" spans="10:16" x14ac:dyDescent="0.25">
      <c r="J92" t="str">
        <f>IF(Q141="",O141)</f>
        <v>Betterave fourragère [71]</v>
      </c>
      <c r="O92" t="s">
        <v>762</v>
      </c>
      <c r="P92">
        <v>4</v>
      </c>
    </row>
    <row r="93" spans="10:16" x14ac:dyDescent="0.25">
      <c r="J93" t="str">
        <f>IF(Q142="",O142)</f>
        <v>Betterave sucrière [91]</v>
      </c>
      <c r="O93" t="s">
        <v>763</v>
      </c>
      <c r="P93">
        <v>4</v>
      </c>
    </row>
    <row r="94" spans="10:16" x14ac:dyDescent="0.25">
      <c r="J94" t="str">
        <f>IF(Q143="",O143)</f>
        <v>Chicorée à inuline [9811]</v>
      </c>
      <c r="O94" t="s">
        <v>764</v>
      </c>
      <c r="P94">
        <v>4</v>
      </c>
    </row>
    <row r="95" spans="10:16" x14ac:dyDescent="0.25">
      <c r="J95" t="str">
        <f>IF(Q144="",O144)</f>
        <v>Chicorée à café [9812]</v>
      </c>
      <c r="O95" t="s">
        <v>113</v>
      </c>
      <c r="P95">
        <v>3</v>
      </c>
    </row>
    <row r="96" spans="10:16" x14ac:dyDescent="0.25">
      <c r="O96" t="s">
        <v>649</v>
      </c>
      <c r="P96">
        <v>3</v>
      </c>
    </row>
    <row r="97" spans="15:17" x14ac:dyDescent="0.25">
      <c r="O97" t="s">
        <v>765</v>
      </c>
      <c r="P97">
        <v>3</v>
      </c>
    </row>
    <row r="98" spans="15:17" x14ac:dyDescent="0.25">
      <c r="O98" t="s">
        <v>766</v>
      </c>
      <c r="P98">
        <v>3</v>
      </c>
    </row>
    <row r="99" spans="15:17" x14ac:dyDescent="0.25">
      <c r="O99" t="s">
        <v>767</v>
      </c>
      <c r="P99">
        <v>3</v>
      </c>
    </row>
    <row r="100" spans="15:17" x14ac:dyDescent="0.25">
      <c r="O100" t="s">
        <v>768</v>
      </c>
      <c r="P100">
        <v>3</v>
      </c>
    </row>
    <row r="101" spans="15:17" x14ac:dyDescent="0.25">
      <c r="O101" t="s">
        <v>769</v>
      </c>
      <c r="P101">
        <v>3</v>
      </c>
    </row>
    <row r="102" spans="15:17" x14ac:dyDescent="0.25">
      <c r="O102" t="s">
        <v>770</v>
      </c>
      <c r="P102">
        <v>3</v>
      </c>
    </row>
    <row r="103" spans="15:17" x14ac:dyDescent="0.25">
      <c r="O103" t="s">
        <v>771</v>
      </c>
      <c r="P103">
        <v>3</v>
      </c>
    </row>
    <row r="104" spans="15:17" x14ac:dyDescent="0.25">
      <c r="O104" t="s">
        <v>772</v>
      </c>
      <c r="P104">
        <v>3</v>
      </c>
    </row>
    <row r="105" spans="15:17" x14ac:dyDescent="0.25">
      <c r="O105" s="640" t="s">
        <v>773</v>
      </c>
      <c r="P105">
        <v>3</v>
      </c>
      <c r="Q105" t="s">
        <v>920</v>
      </c>
    </row>
    <row r="106" spans="15:17" x14ac:dyDescent="0.25">
      <c r="O106" s="640" t="s">
        <v>774</v>
      </c>
      <c r="P106">
        <v>3</v>
      </c>
      <c r="Q106" t="s">
        <v>920</v>
      </c>
    </row>
    <row r="107" spans="15:17" x14ac:dyDescent="0.25">
      <c r="O107" t="s">
        <v>775</v>
      </c>
      <c r="P107">
        <v>3</v>
      </c>
    </row>
    <row r="108" spans="15:17" x14ac:dyDescent="0.25">
      <c r="O108" t="s">
        <v>776</v>
      </c>
      <c r="P108">
        <v>3</v>
      </c>
    </row>
    <row r="109" spans="15:17" x14ac:dyDescent="0.25">
      <c r="O109" t="s">
        <v>777</v>
      </c>
      <c r="P109">
        <v>3</v>
      </c>
    </row>
    <row r="110" spans="15:17" x14ac:dyDescent="0.25">
      <c r="O110" t="s">
        <v>778</v>
      </c>
      <c r="P110">
        <v>3</v>
      </c>
    </row>
    <row r="111" spans="15:17" x14ac:dyDescent="0.25">
      <c r="O111" t="s">
        <v>779</v>
      </c>
      <c r="P111">
        <v>3</v>
      </c>
    </row>
    <row r="112" spans="15:17" x14ac:dyDescent="0.25">
      <c r="O112" t="s">
        <v>780</v>
      </c>
      <c r="P112">
        <v>3</v>
      </c>
    </row>
    <row r="113" spans="15:17" x14ac:dyDescent="0.25">
      <c r="O113" s="100" t="s">
        <v>106</v>
      </c>
      <c r="P113">
        <v>1</v>
      </c>
      <c r="Q113" t="s">
        <v>920</v>
      </c>
    </row>
    <row r="114" spans="15:17" x14ac:dyDescent="0.25">
      <c r="O114" s="100" t="s">
        <v>107</v>
      </c>
      <c r="P114">
        <v>1</v>
      </c>
      <c r="Q114" t="s">
        <v>920</v>
      </c>
    </row>
    <row r="115" spans="15:17" x14ac:dyDescent="0.25">
      <c r="O115" t="s">
        <v>781</v>
      </c>
      <c r="P115">
        <v>2</v>
      </c>
    </row>
    <row r="116" spans="15:17" x14ac:dyDescent="0.25">
      <c r="O116" t="s">
        <v>782</v>
      </c>
      <c r="P116">
        <v>2</v>
      </c>
    </row>
    <row r="117" spans="15:17" x14ac:dyDescent="0.25">
      <c r="O117" s="100" t="s">
        <v>108</v>
      </c>
      <c r="P117">
        <v>2</v>
      </c>
      <c r="Q117" t="s">
        <v>920</v>
      </c>
    </row>
    <row r="118" spans="15:17" x14ac:dyDescent="0.25">
      <c r="O118" s="100" t="s">
        <v>644</v>
      </c>
      <c r="P118">
        <v>2</v>
      </c>
      <c r="Q118" t="s">
        <v>920</v>
      </c>
    </row>
    <row r="119" spans="15:17" x14ac:dyDescent="0.25">
      <c r="O119" s="100" t="s">
        <v>645</v>
      </c>
      <c r="P119">
        <v>2</v>
      </c>
      <c r="Q119" t="s">
        <v>920</v>
      </c>
    </row>
    <row r="120" spans="15:17" x14ac:dyDescent="0.25">
      <c r="O120" s="194" t="s">
        <v>783</v>
      </c>
      <c r="P120">
        <v>3</v>
      </c>
      <c r="Q120" t="s">
        <v>920</v>
      </c>
    </row>
    <row r="121" spans="15:17" x14ac:dyDescent="0.25">
      <c r="O121" s="194" t="s">
        <v>784</v>
      </c>
      <c r="P121">
        <v>3</v>
      </c>
      <c r="Q121" t="s">
        <v>920</v>
      </c>
    </row>
    <row r="122" spans="15:17" x14ac:dyDescent="0.25">
      <c r="O122" s="194" t="s">
        <v>785</v>
      </c>
      <c r="P122">
        <v>3</v>
      </c>
      <c r="Q122" t="s">
        <v>920</v>
      </c>
    </row>
    <row r="123" spans="15:17" x14ac:dyDescent="0.25">
      <c r="O123" s="194" t="s">
        <v>84</v>
      </c>
      <c r="P123">
        <v>3</v>
      </c>
      <c r="Q123" t="s">
        <v>920</v>
      </c>
    </row>
    <row r="124" spans="15:17" x14ac:dyDescent="0.25">
      <c r="O124" s="194" t="s">
        <v>786</v>
      </c>
      <c r="P124">
        <v>3</v>
      </c>
      <c r="Q124" t="s">
        <v>920</v>
      </c>
    </row>
    <row r="125" spans="15:17" x14ac:dyDescent="0.25">
      <c r="O125" s="194" t="s">
        <v>85</v>
      </c>
      <c r="P125">
        <v>3</v>
      </c>
      <c r="Q125" t="s">
        <v>920</v>
      </c>
    </row>
    <row r="126" spans="15:17" x14ac:dyDescent="0.25">
      <c r="O126" s="194" t="s">
        <v>787</v>
      </c>
      <c r="P126">
        <v>3</v>
      </c>
      <c r="Q126" t="s">
        <v>920</v>
      </c>
    </row>
    <row r="127" spans="15:17" x14ac:dyDescent="0.25">
      <c r="O127" s="195" t="s">
        <v>86</v>
      </c>
      <c r="P127">
        <v>3</v>
      </c>
      <c r="Q127" t="s">
        <v>920</v>
      </c>
    </row>
    <row r="128" spans="15:17" x14ac:dyDescent="0.25">
      <c r="O128" s="195" t="s">
        <v>87</v>
      </c>
      <c r="P128">
        <v>3</v>
      </c>
      <c r="Q128" t="s">
        <v>920</v>
      </c>
    </row>
    <row r="129" spans="15:17" x14ac:dyDescent="0.25">
      <c r="O129" s="194" t="s">
        <v>788</v>
      </c>
      <c r="P129">
        <v>3</v>
      </c>
      <c r="Q129" t="s">
        <v>920</v>
      </c>
    </row>
    <row r="130" spans="15:17" x14ac:dyDescent="0.25">
      <c r="O130" s="194" t="s">
        <v>789</v>
      </c>
      <c r="P130">
        <v>3</v>
      </c>
      <c r="Q130" t="s">
        <v>920</v>
      </c>
    </row>
    <row r="131" spans="15:17" x14ac:dyDescent="0.25">
      <c r="O131" t="s">
        <v>109</v>
      </c>
      <c r="P131">
        <v>2</v>
      </c>
      <c r="Q131" t="s">
        <v>920</v>
      </c>
    </row>
    <row r="132" spans="15:17" x14ac:dyDescent="0.25">
      <c r="O132" s="189" t="s">
        <v>79</v>
      </c>
      <c r="P132">
        <v>2</v>
      </c>
      <c r="Q132" t="s">
        <v>920</v>
      </c>
    </row>
    <row r="133" spans="15:17" x14ac:dyDescent="0.25">
      <c r="O133" s="189" t="s">
        <v>647</v>
      </c>
      <c r="P133">
        <v>2</v>
      </c>
      <c r="Q133" t="s">
        <v>920</v>
      </c>
    </row>
    <row r="134" spans="15:17" x14ac:dyDescent="0.25">
      <c r="O134" s="189" t="s">
        <v>646</v>
      </c>
      <c r="P134">
        <v>2</v>
      </c>
      <c r="Q134" t="s">
        <v>920</v>
      </c>
    </row>
    <row r="135" spans="15:17" x14ac:dyDescent="0.25">
      <c r="O135" s="189" t="s">
        <v>648</v>
      </c>
      <c r="P135">
        <v>2</v>
      </c>
      <c r="Q135" t="s">
        <v>920</v>
      </c>
    </row>
    <row r="136" spans="15:17" x14ac:dyDescent="0.25">
      <c r="O136" t="s">
        <v>81</v>
      </c>
      <c r="P136">
        <v>2</v>
      </c>
      <c r="Q136" t="s">
        <v>920</v>
      </c>
    </row>
    <row r="137" spans="15:17" x14ac:dyDescent="0.25">
      <c r="O137" s="100" t="s">
        <v>110</v>
      </c>
      <c r="P137">
        <v>2</v>
      </c>
      <c r="Q137" t="s">
        <v>920</v>
      </c>
    </row>
    <row r="138" spans="15:17" x14ac:dyDescent="0.25">
      <c r="O138" t="s">
        <v>790</v>
      </c>
      <c r="P138">
        <v>4</v>
      </c>
    </row>
    <row r="139" spans="15:17" x14ac:dyDescent="0.25">
      <c r="O139" t="s">
        <v>791</v>
      </c>
      <c r="P139">
        <v>4</v>
      </c>
    </row>
    <row r="140" spans="15:17" x14ac:dyDescent="0.25">
      <c r="O140" t="s">
        <v>792</v>
      </c>
      <c r="P140">
        <v>4</v>
      </c>
      <c r="Q140" t="s">
        <v>920</v>
      </c>
    </row>
    <row r="141" spans="15:17" x14ac:dyDescent="0.25">
      <c r="O141" t="s">
        <v>793</v>
      </c>
      <c r="P141">
        <v>3</v>
      </c>
    </row>
    <row r="142" spans="15:17" x14ac:dyDescent="0.25">
      <c r="O142" t="s">
        <v>794</v>
      </c>
      <c r="P142">
        <v>3</v>
      </c>
    </row>
    <row r="143" spans="15:17" x14ac:dyDescent="0.25">
      <c r="O143" t="s">
        <v>795</v>
      </c>
      <c r="P143">
        <v>3</v>
      </c>
    </row>
    <row r="144" spans="15:17" x14ac:dyDescent="0.25">
      <c r="O144" t="s">
        <v>796</v>
      </c>
      <c r="P144">
        <v>3</v>
      </c>
    </row>
    <row r="145" spans="15:16" x14ac:dyDescent="0.25">
      <c r="O145" t="s">
        <v>954</v>
      </c>
      <c r="P145" t="s">
        <v>74</v>
      </c>
    </row>
    <row r="146" spans="15:16" x14ac:dyDescent="0.25">
      <c r="O146" t="s">
        <v>955</v>
      </c>
      <c r="P146" t="s">
        <v>74</v>
      </c>
    </row>
    <row r="147" spans="15:16" x14ac:dyDescent="0.25">
      <c r="O147" t="s">
        <v>956</v>
      </c>
      <c r="P147" t="s">
        <v>74</v>
      </c>
    </row>
    <row r="148" spans="15:16" x14ac:dyDescent="0.25">
      <c r="O148" t="s">
        <v>957</v>
      </c>
      <c r="P148" t="s">
        <v>74</v>
      </c>
    </row>
    <row r="149" spans="15:16" x14ac:dyDescent="0.25">
      <c r="O149" t="s">
        <v>958</v>
      </c>
      <c r="P149" t="s">
        <v>74</v>
      </c>
    </row>
    <row r="150" spans="15:16" x14ac:dyDescent="0.25">
      <c r="O150" t="s">
        <v>959</v>
      </c>
      <c r="P150" t="s">
        <v>74</v>
      </c>
    </row>
    <row r="151" spans="15:16" x14ac:dyDescent="0.25">
      <c r="O151" t="s">
        <v>960</v>
      </c>
      <c r="P151" t="s">
        <v>74</v>
      </c>
    </row>
    <row r="152" spans="15:16" x14ac:dyDescent="0.25">
      <c r="O152" t="s">
        <v>961</v>
      </c>
      <c r="P152" t="s">
        <v>74</v>
      </c>
    </row>
    <row r="153" spans="15:16" x14ac:dyDescent="0.25">
      <c r="O153" t="s">
        <v>962</v>
      </c>
      <c r="P153" t="s">
        <v>74</v>
      </c>
    </row>
    <row r="154" spans="15:16" x14ac:dyDescent="0.25">
      <c r="O154" t="s">
        <v>963</v>
      </c>
      <c r="P154" t="s">
        <v>74</v>
      </c>
    </row>
    <row r="155" spans="15:16" x14ac:dyDescent="0.25">
      <c r="O155" t="s">
        <v>964</v>
      </c>
      <c r="P155" t="s">
        <v>74</v>
      </c>
    </row>
    <row r="156" spans="15:16" x14ac:dyDescent="0.25">
      <c r="O156" t="s">
        <v>965</v>
      </c>
      <c r="P156" t="s">
        <v>74</v>
      </c>
    </row>
    <row r="157" spans="15:16" x14ac:dyDescent="0.25">
      <c r="O157" t="s">
        <v>966</v>
      </c>
      <c r="P157" t="s">
        <v>74</v>
      </c>
    </row>
    <row r="158" spans="15:16" x14ac:dyDescent="0.25">
      <c r="O158" t="s">
        <v>967</v>
      </c>
      <c r="P158" t="s">
        <v>74</v>
      </c>
    </row>
    <row r="159" spans="15:16" x14ac:dyDescent="0.25">
      <c r="O159" s="187" t="s">
        <v>27</v>
      </c>
      <c r="P159">
        <v>1</v>
      </c>
    </row>
  </sheetData>
  <sheetProtection sheet="1" objects="1" scenarios="1"/>
  <autoFilter ref="O1:Q158" xr:uid="{D3A1B87A-2DDE-4583-9423-9BD0428B3940}"/>
  <pageMargins left="0.25" right="0.25" top="0.75" bottom="0.75" header="0.3" footer="0.3"/>
  <pageSetup paperSize="8" scale="68" orientation="landscape" r:id="rId1"/>
  <legacy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21ED51-A70D-42F6-8E20-74F862C337F7}">
  <sheetPr codeName="Feuil13"/>
  <dimension ref="A1:N63"/>
  <sheetViews>
    <sheetView topLeftCell="A19" zoomScale="120" zoomScaleNormal="120" workbookViewId="0">
      <selection activeCell="D30" sqref="D30"/>
    </sheetView>
  </sheetViews>
  <sheetFormatPr baseColWidth="10" defaultColWidth="11.42578125" defaultRowHeight="15" x14ac:dyDescent="0.25"/>
  <cols>
    <col min="1" max="1" width="83.85546875" bestFit="1" customWidth="1"/>
    <col min="2" max="2" width="15" customWidth="1"/>
    <col min="3" max="5" width="13.7109375" customWidth="1"/>
    <col min="6" max="6" width="12.42578125" bestFit="1" customWidth="1"/>
    <col min="7" max="7" width="11.7109375" bestFit="1" customWidth="1"/>
    <col min="8" max="8" width="23.7109375" customWidth="1"/>
    <col min="9" max="11" width="18.28515625" customWidth="1"/>
  </cols>
  <sheetData>
    <row r="1" spans="1:14" ht="15.75" thickBot="1" x14ac:dyDescent="0.3">
      <c r="A1" t="s">
        <v>968</v>
      </c>
    </row>
    <row r="2" spans="1:14" ht="15.75" thickBot="1" x14ac:dyDescent="0.3">
      <c r="A2" s="929" t="str">
        <f>'2. VOS DONNEES'!$D$30</f>
        <v xml:space="preserve">Sur base des données encodées ci-dessus, vous avez encodé ce pourcentage total de parts : </v>
      </c>
      <c r="B2" s="930">
        <f>VLOOKUP(A2,'2. VOS DONNEES'!$D$30:$F$30,2,FALSE)</f>
        <v>0</v>
      </c>
      <c r="C2" s="931">
        <f>IF(B2&lt;=100,1,0)</f>
        <v>1</v>
      </c>
      <c r="D2" s="910" t="str">
        <f>IF(C2=1,"Calcul OK","Le nombre de parts dépasse 100%, corrigez cette valeur")</f>
        <v>Calcul OK</v>
      </c>
    </row>
    <row r="5" spans="1:14" ht="23.45" customHeight="1" x14ac:dyDescent="0.35">
      <c r="A5" s="368" t="s">
        <v>969</v>
      </c>
      <c r="B5" s="366"/>
      <c r="C5" s="366"/>
      <c r="D5" s="366"/>
      <c r="E5" s="154"/>
      <c r="F5" s="154"/>
      <c r="G5" s="154"/>
      <c r="H5" s="154"/>
      <c r="I5" s="154"/>
      <c r="J5" s="154"/>
      <c r="K5" s="154"/>
      <c r="L5" s="154"/>
      <c r="M5" s="154"/>
      <c r="N5" s="154"/>
    </row>
    <row r="6" spans="1:14" s="364" customFormat="1" x14ac:dyDescent="0.25">
      <c r="A6" s="365" t="s">
        <v>970</v>
      </c>
      <c r="B6" s="84">
        <v>121.1</v>
      </c>
      <c r="D6"/>
    </row>
    <row r="7" spans="1:14" s="364" customFormat="1" x14ac:dyDescent="0.25">
      <c r="A7" s="365" t="s">
        <v>971</v>
      </c>
      <c r="B7">
        <v>108.22</v>
      </c>
    </row>
    <row r="8" spans="1:14" s="364" customFormat="1" ht="15.75" thickBot="1" x14ac:dyDescent="0.3">
      <c r="A8" s="365" t="s">
        <v>972</v>
      </c>
      <c r="B8">
        <v>91.99</v>
      </c>
    </row>
    <row r="9" spans="1:14" s="364" customFormat="1" ht="60" x14ac:dyDescent="0.25">
      <c r="A9" s="464" t="s">
        <v>973</v>
      </c>
      <c r="B9" s="465" t="s">
        <v>62</v>
      </c>
      <c r="C9" s="465" t="s">
        <v>974</v>
      </c>
      <c r="D9" s="466" t="s">
        <v>975</v>
      </c>
      <c r="E9" s="465" t="s">
        <v>976</v>
      </c>
      <c r="F9" s="466" t="s">
        <v>977</v>
      </c>
      <c r="G9" s="466" t="s">
        <v>978</v>
      </c>
      <c r="H9" s="466" t="s">
        <v>979</v>
      </c>
      <c r="I9" s="466" t="s">
        <v>980</v>
      </c>
      <c r="J9" s="466" t="s">
        <v>981</v>
      </c>
      <c r="K9" s="467" t="s">
        <v>982</v>
      </c>
      <c r="M9" s="1527" t="s">
        <v>983</v>
      </c>
      <c r="N9" s="1528"/>
    </row>
    <row r="10" spans="1:14" s="364" customFormat="1" ht="15.75" thickBot="1" x14ac:dyDescent="0.3">
      <c r="A10" s="527"/>
      <c r="B10" s="528"/>
      <c r="C10" s="528"/>
      <c r="D10" s="529"/>
      <c r="E10" s="528"/>
      <c r="F10" s="529"/>
      <c r="G10" s="529"/>
      <c r="H10" s="529">
        <v>1</v>
      </c>
      <c r="I10" s="529">
        <v>2</v>
      </c>
      <c r="J10" s="529">
        <v>3</v>
      </c>
      <c r="K10" s="530">
        <v>4</v>
      </c>
      <c r="M10" s="480">
        <v>60000</v>
      </c>
      <c r="N10" s="489"/>
    </row>
    <row r="11" spans="1:14" ht="15" customHeight="1" x14ac:dyDescent="0.25">
      <c r="A11" s="524" t="s">
        <v>457</v>
      </c>
      <c r="B11" s="525">
        <f>'2. VOS DONNEES'!E34</f>
        <v>0</v>
      </c>
      <c r="C11" s="525">
        <f>'2. VOS DONNEES'!F34</f>
        <v>0</v>
      </c>
      <c r="D11" s="266">
        <f>C11*B11</f>
        <v>0</v>
      </c>
      <c r="E11" s="266">
        <f>B11*0.06</f>
        <v>0</v>
      </c>
      <c r="F11" s="266">
        <f>B11-E11</f>
        <v>0</v>
      </c>
      <c r="G11" s="266">
        <f t="shared" ref="G11:G16" si="0">IF(C11&lt;=0,0,IF(F11&lt;$B$8,($B$8-F11)/$K$10,IF(F11&gt;$B$6,-(F11-$B$6)/$K$10,0)))</f>
        <v>0</v>
      </c>
      <c r="H11" s="266">
        <f>$F11+(H$10*$G11)</f>
        <v>0</v>
      </c>
      <c r="I11" s="266">
        <f t="shared" ref="I11:K16" si="1">$F11+(I$10*$G11)</f>
        <v>0</v>
      </c>
      <c r="J11" s="266">
        <f t="shared" si="1"/>
        <v>0</v>
      </c>
      <c r="K11" s="526">
        <f t="shared" si="1"/>
        <v>0</v>
      </c>
      <c r="M11" s="480">
        <v>75000</v>
      </c>
      <c r="N11" s="301"/>
    </row>
    <row r="12" spans="1:14" ht="15" customHeight="1" thickBot="1" x14ac:dyDescent="0.3">
      <c r="A12" s="446" t="s">
        <v>458</v>
      </c>
      <c r="B12" s="460">
        <f>'2. VOS DONNEES'!E35</f>
        <v>0</v>
      </c>
      <c r="C12" s="460">
        <f>'2. VOS DONNEES'!F35</f>
        <v>0</v>
      </c>
      <c r="D12" s="308">
        <f t="shared" ref="D12:D16" si="2">C12*B12</f>
        <v>0</v>
      </c>
      <c r="E12" s="308">
        <f t="shared" ref="E12:E16" si="3">B12*0.06</f>
        <v>0</v>
      </c>
      <c r="F12" s="308">
        <f>B12-E12</f>
        <v>0</v>
      </c>
      <c r="G12" s="308">
        <f t="shared" si="0"/>
        <v>0</v>
      </c>
      <c r="H12" s="308">
        <f t="shared" ref="H12:H16" si="4">$F12+(H$10*$G12)</f>
        <v>0</v>
      </c>
      <c r="I12" s="308">
        <f t="shared" si="1"/>
        <v>0</v>
      </c>
      <c r="J12" s="308">
        <f t="shared" si="1"/>
        <v>0</v>
      </c>
      <c r="K12" s="461">
        <f t="shared" si="1"/>
        <v>0</v>
      </c>
      <c r="M12" s="459">
        <v>100000</v>
      </c>
      <c r="N12" s="311"/>
    </row>
    <row r="13" spans="1:14" ht="15" customHeight="1" x14ac:dyDescent="0.25">
      <c r="A13" s="446" t="s">
        <v>459</v>
      </c>
      <c r="B13" s="460">
        <f>'2. VOS DONNEES'!E36</f>
        <v>0</v>
      </c>
      <c r="C13" s="460">
        <f>'2. VOS DONNEES'!F36</f>
        <v>0</v>
      </c>
      <c r="D13" s="308">
        <f t="shared" si="2"/>
        <v>0</v>
      </c>
      <c r="E13" s="308">
        <f t="shared" si="3"/>
        <v>0</v>
      </c>
      <c r="F13" s="308">
        <f>B13-E13</f>
        <v>0</v>
      </c>
      <c r="G13" s="308">
        <f t="shared" si="0"/>
        <v>0</v>
      </c>
      <c r="H13" s="308">
        <f t="shared" si="4"/>
        <v>0</v>
      </c>
      <c r="I13" s="308">
        <f t="shared" si="1"/>
        <v>0</v>
      </c>
      <c r="J13" s="308">
        <f t="shared" si="1"/>
        <v>0</v>
      </c>
      <c r="K13" s="461">
        <f t="shared" si="1"/>
        <v>0</v>
      </c>
    </row>
    <row r="14" spans="1:14" ht="15" customHeight="1" x14ac:dyDescent="0.25">
      <c r="A14" s="446" t="s">
        <v>460</v>
      </c>
      <c r="B14" s="460">
        <f>'2. VOS DONNEES'!E37</f>
        <v>0</v>
      </c>
      <c r="C14" s="460">
        <f>'2. VOS DONNEES'!F37</f>
        <v>0</v>
      </c>
      <c r="D14" s="308">
        <f t="shared" si="2"/>
        <v>0</v>
      </c>
      <c r="E14" s="308">
        <f t="shared" si="3"/>
        <v>0</v>
      </c>
      <c r="F14" s="308">
        <f>B14-E14</f>
        <v>0</v>
      </c>
      <c r="G14" s="308">
        <f t="shared" si="0"/>
        <v>0</v>
      </c>
      <c r="H14" s="308">
        <f t="shared" si="4"/>
        <v>0</v>
      </c>
      <c r="I14" s="308">
        <f t="shared" si="1"/>
        <v>0</v>
      </c>
      <c r="J14" s="308">
        <f t="shared" si="1"/>
        <v>0</v>
      </c>
      <c r="K14" s="461">
        <f t="shared" si="1"/>
        <v>0</v>
      </c>
    </row>
    <row r="15" spans="1:14" ht="15" customHeight="1" x14ac:dyDescent="0.25">
      <c r="A15" s="446" t="s">
        <v>461</v>
      </c>
      <c r="B15" s="460">
        <f>'2. VOS DONNEES'!E38</f>
        <v>0</v>
      </c>
      <c r="C15" s="460">
        <f>'2. VOS DONNEES'!F38</f>
        <v>0</v>
      </c>
      <c r="D15" s="308">
        <f t="shared" si="2"/>
        <v>0</v>
      </c>
      <c r="E15" s="308">
        <f t="shared" si="3"/>
        <v>0</v>
      </c>
      <c r="F15" s="308">
        <f>B15-E15</f>
        <v>0</v>
      </c>
      <c r="G15" s="308">
        <f t="shared" si="0"/>
        <v>0</v>
      </c>
      <c r="H15" s="308">
        <f t="shared" si="4"/>
        <v>0</v>
      </c>
      <c r="I15" s="308">
        <f t="shared" si="1"/>
        <v>0</v>
      </c>
      <c r="J15" s="308">
        <f t="shared" si="1"/>
        <v>0</v>
      </c>
      <c r="K15" s="461">
        <f t="shared" si="1"/>
        <v>0</v>
      </c>
    </row>
    <row r="16" spans="1:14" ht="15" customHeight="1" thickBot="1" x14ac:dyDescent="0.3">
      <c r="A16" s="448" t="s">
        <v>462</v>
      </c>
      <c r="B16" s="462">
        <f>'2. VOS DONNEES'!E39</f>
        <v>0</v>
      </c>
      <c r="C16" s="462">
        <f>'2. VOS DONNEES'!F39</f>
        <v>0</v>
      </c>
      <c r="D16" s="449">
        <f t="shared" si="2"/>
        <v>0</v>
      </c>
      <c r="E16" s="449">
        <f t="shared" si="3"/>
        <v>0</v>
      </c>
      <c r="F16" s="449">
        <f t="shared" ref="F16" si="5">B16-E16</f>
        <v>0</v>
      </c>
      <c r="G16" s="449">
        <f t="shared" si="0"/>
        <v>0</v>
      </c>
      <c r="H16" s="449">
        <f t="shared" si="4"/>
        <v>0</v>
      </c>
      <c r="I16" s="449">
        <f t="shared" si="1"/>
        <v>0</v>
      </c>
      <c r="J16" s="449">
        <f t="shared" si="1"/>
        <v>0</v>
      </c>
      <c r="K16" s="463">
        <f t="shared" si="1"/>
        <v>0</v>
      </c>
    </row>
    <row r="17" spans="1:14" ht="15" customHeight="1" thickBot="1" x14ac:dyDescent="0.3">
      <c r="C17" s="84"/>
      <c r="D17" s="84"/>
      <c r="E17" s="84"/>
      <c r="F17" s="84"/>
      <c r="G17" s="84"/>
      <c r="H17" s="84"/>
      <c r="I17" s="84"/>
      <c r="J17" s="84"/>
      <c r="K17" s="84"/>
    </row>
    <row r="18" spans="1:14" ht="15" customHeight="1" thickBot="1" x14ac:dyDescent="0.3">
      <c r="C18" s="84"/>
      <c r="D18" s="84"/>
      <c r="E18" s="84"/>
      <c r="F18" s="84"/>
      <c r="G18" s="491" t="s">
        <v>984</v>
      </c>
      <c r="H18" s="492" t="s">
        <v>985</v>
      </c>
      <c r="I18" s="492" t="s">
        <v>986</v>
      </c>
      <c r="J18" s="492" t="s">
        <v>987</v>
      </c>
      <c r="K18" s="493" t="s">
        <v>987</v>
      </c>
    </row>
    <row r="19" spans="1:14" ht="15" customHeight="1" x14ac:dyDescent="0.25">
      <c r="C19" s="84"/>
      <c r="D19" s="84"/>
      <c r="E19" s="84"/>
      <c r="F19" s="456" t="s">
        <v>457</v>
      </c>
      <c r="G19" s="495">
        <f>B11*C11</f>
        <v>0</v>
      </c>
      <c r="H19" s="444">
        <f>H11*$C11</f>
        <v>0</v>
      </c>
      <c r="I19" s="444">
        <f t="shared" ref="I19:K19" si="6">I11*$C11</f>
        <v>0</v>
      </c>
      <c r="J19" s="444">
        <f t="shared" si="6"/>
        <v>0</v>
      </c>
      <c r="K19" s="445">
        <f t="shared" si="6"/>
        <v>0</v>
      </c>
    </row>
    <row r="20" spans="1:14" ht="15" customHeight="1" x14ac:dyDescent="0.25">
      <c r="C20" s="84"/>
      <c r="D20" s="84"/>
      <c r="E20" s="84"/>
      <c r="F20" s="457" t="s">
        <v>458</v>
      </c>
      <c r="G20" s="496">
        <f t="shared" ref="G20:G24" si="7">B12*C12</f>
        <v>0</v>
      </c>
      <c r="H20" s="84">
        <f t="shared" ref="H20:K24" si="8">H12*$C12</f>
        <v>0</v>
      </c>
      <c r="I20" s="84">
        <f t="shared" si="8"/>
        <v>0</v>
      </c>
      <c r="J20" s="84">
        <f t="shared" si="8"/>
        <v>0</v>
      </c>
      <c r="K20" s="447">
        <f t="shared" si="8"/>
        <v>0</v>
      </c>
    </row>
    <row r="21" spans="1:14" ht="15" customHeight="1" x14ac:dyDescent="0.25">
      <c r="C21" s="84"/>
      <c r="D21" s="84"/>
      <c r="E21" s="84"/>
      <c r="F21" s="457" t="s">
        <v>459</v>
      </c>
      <c r="G21" s="496">
        <f t="shared" si="7"/>
        <v>0</v>
      </c>
      <c r="H21" s="84">
        <f t="shared" si="8"/>
        <v>0</v>
      </c>
      <c r="I21" s="84">
        <f t="shared" si="8"/>
        <v>0</v>
      </c>
      <c r="J21" s="84">
        <f t="shared" si="8"/>
        <v>0</v>
      </c>
      <c r="K21" s="447">
        <f t="shared" si="8"/>
        <v>0</v>
      </c>
    </row>
    <row r="22" spans="1:14" ht="15" customHeight="1" x14ac:dyDescent="0.25">
      <c r="C22" s="84"/>
      <c r="D22" s="84"/>
      <c r="E22" s="84"/>
      <c r="F22" s="457" t="s">
        <v>460</v>
      </c>
      <c r="G22" s="496">
        <f t="shared" si="7"/>
        <v>0</v>
      </c>
      <c r="H22" s="84">
        <f t="shared" si="8"/>
        <v>0</v>
      </c>
      <c r="I22" s="84">
        <f t="shared" si="8"/>
        <v>0</v>
      </c>
      <c r="J22" s="84">
        <f t="shared" si="8"/>
        <v>0</v>
      </c>
      <c r="K22" s="447">
        <f t="shared" si="8"/>
        <v>0</v>
      </c>
    </row>
    <row r="23" spans="1:14" ht="15" customHeight="1" x14ac:dyDescent="0.25">
      <c r="A23" s="84"/>
      <c r="C23" s="84"/>
      <c r="D23" s="84"/>
      <c r="E23" s="84"/>
      <c r="F23" s="457" t="s">
        <v>461</v>
      </c>
      <c r="G23" s="496">
        <f t="shared" si="7"/>
        <v>0</v>
      </c>
      <c r="H23" s="84">
        <f t="shared" si="8"/>
        <v>0</v>
      </c>
      <c r="I23" s="84">
        <f t="shared" si="8"/>
        <v>0</v>
      </c>
      <c r="J23" s="84">
        <f t="shared" si="8"/>
        <v>0</v>
      </c>
      <c r="K23" s="447">
        <f t="shared" si="8"/>
        <v>0</v>
      </c>
    </row>
    <row r="24" spans="1:14" ht="15" customHeight="1" thickBot="1" x14ac:dyDescent="0.3">
      <c r="A24" s="84"/>
      <c r="C24" s="84"/>
      <c r="D24" s="84"/>
      <c r="E24" s="84"/>
      <c r="F24" s="458" t="s">
        <v>462</v>
      </c>
      <c r="G24" s="497">
        <f t="shared" si="7"/>
        <v>0</v>
      </c>
      <c r="H24" s="450">
        <f t="shared" si="8"/>
        <v>0</v>
      </c>
      <c r="I24" s="450">
        <f t="shared" si="8"/>
        <v>0</v>
      </c>
      <c r="J24" s="450">
        <f t="shared" si="8"/>
        <v>0</v>
      </c>
      <c r="K24" s="451">
        <f t="shared" si="8"/>
        <v>0</v>
      </c>
    </row>
    <row r="25" spans="1:14" ht="15" customHeight="1" thickBot="1" x14ac:dyDescent="0.3">
      <c r="A25" s="84"/>
      <c r="C25" s="84"/>
      <c r="D25" s="84"/>
      <c r="E25" s="84"/>
      <c r="F25" s="494" t="s">
        <v>988</v>
      </c>
      <c r="G25" s="452">
        <f>SUM(G19:G24)</f>
        <v>0</v>
      </c>
      <c r="H25" s="453">
        <f t="shared" ref="H25:K25" si="9">SUM(H19:H24)</f>
        <v>0</v>
      </c>
      <c r="I25" s="453">
        <f t="shared" si="9"/>
        <v>0</v>
      </c>
      <c r="J25" s="453">
        <f t="shared" si="9"/>
        <v>0</v>
      </c>
      <c r="K25" s="454">
        <f t="shared" si="9"/>
        <v>0</v>
      </c>
    </row>
    <row r="26" spans="1:14" ht="15" customHeight="1" thickBot="1" x14ac:dyDescent="0.3">
      <c r="A26" s="84"/>
      <c r="C26" s="84"/>
      <c r="D26" s="84"/>
      <c r="E26" s="84"/>
      <c r="F26" s="84"/>
      <c r="G26" s="84"/>
      <c r="H26" s="84" t="str">
        <f>IF(H25&gt;$M$10,"Aide plafonnée","Aide non plafonnée")</f>
        <v>Aide non plafonnée</v>
      </c>
      <c r="I26" s="84" t="str">
        <f t="shared" ref="I26:K26" si="10">IF(I25&gt;$M$10,"Aide plafonnée","Aide non plafonnée")</f>
        <v>Aide non plafonnée</v>
      </c>
      <c r="J26" s="84" t="str">
        <f t="shared" si="10"/>
        <v>Aide non plafonnée</v>
      </c>
      <c r="K26" s="84" t="str">
        <f t="shared" si="10"/>
        <v>Aide non plafonnée</v>
      </c>
    </row>
    <row r="27" spans="1:14" ht="15" customHeight="1" thickBot="1" x14ac:dyDescent="0.3">
      <c r="C27" s="84"/>
      <c r="D27" s="84"/>
      <c r="E27" s="84"/>
      <c r="F27" s="84"/>
      <c r="G27" s="84"/>
      <c r="H27" s="84">
        <f>IF(H25&gt;$M$12,(-(H25-$M$12)*1)+H25,IF(H25&gt;$M$11,(-(H25-$M$11)*0.85)+H25,IF(H25&lt;$M$10,H25,(-(H25-$M$10)*0.3)+H25)))</f>
        <v>0</v>
      </c>
      <c r="I27" s="84">
        <f t="shared" ref="I27:K27" si="11">IF(I25&gt;$M$12,(-(I25-$M$12)*1)+I25,IF(I25&gt;$M$11,(-(I25-$M$11)*0.85)+I25,IF(I25&lt;$M$10,I25,(-(I25-$M$10)*0.3)+I25)))</f>
        <v>0</v>
      </c>
      <c r="J27" s="84">
        <f t="shared" si="11"/>
        <v>0</v>
      </c>
      <c r="K27" s="84">
        <f t="shared" si="11"/>
        <v>0</v>
      </c>
      <c r="L27" s="455" t="s">
        <v>988</v>
      </c>
    </row>
    <row r="28" spans="1:14" ht="15" customHeight="1" x14ac:dyDescent="0.25">
      <c r="C28" s="84"/>
      <c r="D28" s="84"/>
      <c r="E28" s="84"/>
      <c r="F28" s="84"/>
      <c r="G28" s="84"/>
      <c r="H28" s="498">
        <f>H25-H27</f>
        <v>0</v>
      </c>
      <c r="I28" s="498">
        <f t="shared" ref="I28:K28" si="12">I25-I27</f>
        <v>0</v>
      </c>
      <c r="J28" s="498">
        <f t="shared" si="12"/>
        <v>0</v>
      </c>
      <c r="K28" s="498">
        <f t="shared" si="12"/>
        <v>0</v>
      </c>
      <c r="L28" s="499" t="s">
        <v>989</v>
      </c>
      <c r="M28" s="499"/>
    </row>
    <row r="29" spans="1:14" ht="15" customHeight="1" x14ac:dyDescent="0.25">
      <c r="C29" s="84"/>
      <c r="D29" s="84"/>
      <c r="E29" s="84"/>
      <c r="F29" s="84"/>
      <c r="G29" s="84"/>
      <c r="H29" s="84"/>
      <c r="I29" s="84"/>
      <c r="J29" s="84"/>
      <c r="K29" s="84"/>
    </row>
    <row r="30" spans="1:14" ht="15" customHeight="1" x14ac:dyDescent="0.25">
      <c r="C30" s="84"/>
      <c r="D30" s="84"/>
      <c r="E30" s="84"/>
      <c r="F30" s="84"/>
      <c r="G30" s="84"/>
      <c r="H30" s="84"/>
      <c r="I30" s="84"/>
      <c r="J30" s="84"/>
      <c r="K30" s="84"/>
    </row>
    <row r="32" spans="1:14" ht="23.45" customHeight="1" x14ac:dyDescent="0.35">
      <c r="A32" s="368" t="s">
        <v>990</v>
      </c>
      <c r="B32" s="366"/>
      <c r="C32" s="366"/>
      <c r="D32" s="366"/>
      <c r="E32" s="154"/>
      <c r="F32" s="154"/>
      <c r="G32" s="366"/>
      <c r="H32" s="366"/>
      <c r="I32" s="366"/>
      <c r="J32" s="366"/>
      <c r="K32" s="366"/>
      <c r="L32" s="366"/>
      <c r="M32" s="366"/>
      <c r="N32" s="366"/>
    </row>
    <row r="33" spans="1:14" ht="16.899999999999999" customHeight="1" x14ac:dyDescent="0.25">
      <c r="A33" s="365" t="s">
        <v>991</v>
      </c>
      <c r="B33" t="str" cm="1">
        <f t="array" ref="B33:C33">'2. VOS DONNEES'!E19:F19</f>
        <v>OUI</v>
      </c>
      <c r="C33">
        <v>0</v>
      </c>
    </row>
    <row r="34" spans="1:14" ht="16.899999999999999" customHeight="1" x14ac:dyDescent="0.25">
      <c r="A34" s="365" t="s">
        <v>992</v>
      </c>
      <c r="B34">
        <v>30</v>
      </c>
      <c r="H34" s="33" t="s">
        <v>1438</v>
      </c>
      <c r="I34" s="33">
        <f>IF(SUM('2. VOS DONNEES'!F34:G39)&gt;0,1,0)</f>
        <v>0</v>
      </c>
    </row>
    <row r="35" spans="1:14" s="364" customFormat="1" x14ac:dyDescent="0.25">
      <c r="A35" s="365" t="s">
        <v>993</v>
      </c>
      <c r="B35">
        <f>'2. VOS DONNEES'!E6</f>
        <v>0</v>
      </c>
    </row>
    <row r="36" spans="1:14" s="364" customFormat="1" x14ac:dyDescent="0.25">
      <c r="A36" s="365" t="s">
        <v>994</v>
      </c>
      <c r="B36">
        <v>143</v>
      </c>
    </row>
    <row r="37" spans="1:14" s="364" customFormat="1" x14ac:dyDescent="0.25">
      <c r="A37" s="369" t="s">
        <v>973</v>
      </c>
      <c r="B37" s="578" t="s">
        <v>995</v>
      </c>
      <c r="C37" s="367" t="s">
        <v>996</v>
      </c>
      <c r="D37" s="367" t="s">
        <v>997</v>
      </c>
      <c r="E37" s="367" t="s">
        <v>998</v>
      </c>
      <c r="F37" s="367" t="s">
        <v>473</v>
      </c>
      <c r="H37" s="367" t="s">
        <v>999</v>
      </c>
    </row>
    <row r="38" spans="1:14" ht="15" customHeight="1" x14ac:dyDescent="0.25">
      <c r="A38" s="363" t="s">
        <v>46</v>
      </c>
      <c r="B38" s="363">
        <f>IF($B$33="Oui",IF('2. VOS DONNEES'!G23="Oui",1,0),0)</f>
        <v>0</v>
      </c>
      <c r="C38" s="33">
        <f>'2. VOS DONNEES'!E23*B38</f>
        <v>0</v>
      </c>
      <c r="D38" s="33">
        <f>C38/100*$B$35</f>
        <v>0</v>
      </c>
      <c r="E38" s="33">
        <f>IF(D38&gt;30,30,D38)</f>
        <v>0</v>
      </c>
      <c r="F38" s="33">
        <f>E38*$B$36</f>
        <v>0</v>
      </c>
      <c r="G38">
        <f>IF($F$44&gt;=$H$44,F38,0)</f>
        <v>0</v>
      </c>
      <c r="H38">
        <f>MIN(B34:B35)</f>
        <v>0</v>
      </c>
    </row>
    <row r="39" spans="1:14" ht="15" customHeight="1" x14ac:dyDescent="0.25">
      <c r="A39" s="363" t="s">
        <v>48</v>
      </c>
      <c r="B39" s="363">
        <f>IF($B$33="Oui",IF('2. VOS DONNEES'!G24="Oui",1,0),0)</f>
        <v>0</v>
      </c>
      <c r="C39" s="33">
        <f>'2. VOS DONNEES'!E24*B39</f>
        <v>0</v>
      </c>
      <c r="D39" s="33">
        <f t="shared" ref="D39:D42" si="13">C39/100*$B$35</f>
        <v>0</v>
      </c>
      <c r="E39" s="33">
        <f t="shared" ref="E39:E43" si="14">IF(D39&gt;30,30,D39)</f>
        <v>0</v>
      </c>
      <c r="F39" s="33">
        <f t="shared" ref="F39:F43" si="15">E39*$B$36</f>
        <v>0</v>
      </c>
      <c r="G39">
        <f t="shared" ref="G39:G43" si="16">IF($F$44&gt;=$H$44,F39,0)</f>
        <v>0</v>
      </c>
    </row>
    <row r="40" spans="1:14" ht="15" customHeight="1" x14ac:dyDescent="0.25">
      <c r="A40" s="363" t="s">
        <v>50</v>
      </c>
      <c r="B40" s="363">
        <f>IF($B$33="Oui",IF('2. VOS DONNEES'!G25="Oui",1,0),0)</f>
        <v>0</v>
      </c>
      <c r="C40" s="33">
        <f>'2. VOS DONNEES'!E25*B40</f>
        <v>0</v>
      </c>
      <c r="D40" s="33">
        <f t="shared" si="13"/>
        <v>0</v>
      </c>
      <c r="E40" s="33">
        <f t="shared" si="14"/>
        <v>0</v>
      </c>
      <c r="F40" s="33">
        <f t="shared" si="15"/>
        <v>0</v>
      </c>
      <c r="G40">
        <f t="shared" si="16"/>
        <v>0</v>
      </c>
      <c r="H40" s="367" t="s">
        <v>1000</v>
      </c>
    </row>
    <row r="41" spans="1:14" ht="15" customHeight="1" x14ac:dyDescent="0.25">
      <c r="A41" s="363" t="s">
        <v>52</v>
      </c>
      <c r="B41" s="363">
        <f>IF($B$33="Oui",IF('2. VOS DONNEES'!G26="Oui",1,0),0)</f>
        <v>0</v>
      </c>
      <c r="C41" s="33">
        <f>'2. VOS DONNEES'!E26*B41</f>
        <v>0</v>
      </c>
      <c r="D41" s="33">
        <f t="shared" si="13"/>
        <v>0</v>
      </c>
      <c r="E41" s="33">
        <f t="shared" si="14"/>
        <v>0</v>
      </c>
      <c r="F41" s="33">
        <f t="shared" si="15"/>
        <v>0</v>
      </c>
      <c r="G41">
        <f t="shared" si="16"/>
        <v>0</v>
      </c>
      <c r="H41">
        <f>B36*H38</f>
        <v>0</v>
      </c>
    </row>
    <row r="42" spans="1:14" ht="15" customHeight="1" x14ac:dyDescent="0.25">
      <c r="A42" s="363" t="s">
        <v>54</v>
      </c>
      <c r="B42" s="363">
        <f>IF($B$33="Oui",IF('2. VOS DONNEES'!G27="Oui",1,0),0)</f>
        <v>0</v>
      </c>
      <c r="C42" s="33">
        <f>'2. VOS DONNEES'!E27*B42</f>
        <v>0</v>
      </c>
      <c r="D42" s="33">
        <f t="shared" si="13"/>
        <v>0</v>
      </c>
      <c r="E42" s="33">
        <f t="shared" si="14"/>
        <v>0</v>
      </c>
      <c r="F42" s="33">
        <f t="shared" si="15"/>
        <v>0</v>
      </c>
      <c r="G42">
        <f t="shared" si="16"/>
        <v>0</v>
      </c>
    </row>
    <row r="43" spans="1:14" ht="15" customHeight="1" x14ac:dyDescent="0.25">
      <c r="A43" s="363" t="s">
        <v>55</v>
      </c>
      <c r="B43" s="363">
        <f>IF($B$33="Oui",IF('2. VOS DONNEES'!G28="Oui",1,0),0)</f>
        <v>0</v>
      </c>
      <c r="C43" s="33">
        <f>'2. VOS DONNEES'!E28*B43</f>
        <v>0</v>
      </c>
      <c r="D43" s="33">
        <f>C43/100*$B$35</f>
        <v>0</v>
      </c>
      <c r="E43" s="33">
        <f t="shared" si="14"/>
        <v>0</v>
      </c>
      <c r="F43" s="33">
        <f t="shared" si="15"/>
        <v>0</v>
      </c>
      <c r="G43">
        <f t="shared" si="16"/>
        <v>0</v>
      </c>
      <c r="H43" s="367" t="s">
        <v>1001</v>
      </c>
    </row>
    <row r="44" spans="1:14" ht="15" customHeight="1" x14ac:dyDescent="0.25">
      <c r="C44">
        <f>SUM(C38:C43)</f>
        <v>0</v>
      </c>
      <c r="D44">
        <f>SUM(D38:D43)</f>
        <v>0</v>
      </c>
      <c r="E44">
        <f>SUM(E38:E43)</f>
        <v>0</v>
      </c>
      <c r="F44">
        <f>SUM(F38:F43)</f>
        <v>0</v>
      </c>
      <c r="H44" s="583">
        <f>MAX(F44,H41)*I34</f>
        <v>0</v>
      </c>
    </row>
    <row r="45" spans="1:14" x14ac:dyDescent="0.25">
      <c r="A45" s="582"/>
    </row>
    <row r="46" spans="1:14" ht="21" x14ac:dyDescent="0.35">
      <c r="A46" s="368" t="s">
        <v>1002</v>
      </c>
      <c r="B46" s="366"/>
      <c r="C46" s="366"/>
      <c r="D46" s="366"/>
      <c r="E46" s="154"/>
      <c r="F46" s="154"/>
      <c r="G46" s="154"/>
      <c r="H46" s="154"/>
      <c r="I46" s="154"/>
      <c r="J46" s="154"/>
      <c r="K46" s="154"/>
      <c r="L46" s="154"/>
      <c r="M46" s="154"/>
      <c r="N46" s="154"/>
    </row>
    <row r="47" spans="1:14" x14ac:dyDescent="0.25">
      <c r="A47" s="365" t="s">
        <v>1003</v>
      </c>
      <c r="B47" t="str">
        <f>'2. VOS DONNEES'!E140</f>
        <v>NON</v>
      </c>
    </row>
    <row r="48" spans="1:14" x14ac:dyDescent="0.25">
      <c r="A48" s="365" t="s">
        <v>1004</v>
      </c>
      <c r="B48" t="str">
        <f>'2. VOS DONNEES'!E141</f>
        <v>NON</v>
      </c>
    </row>
    <row r="49" spans="1:11" x14ac:dyDescent="0.25">
      <c r="A49" s="365" t="s">
        <v>1005</v>
      </c>
      <c r="B49" t="str">
        <f>'2. VOS DONNEES'!E142</f>
        <v>Avant 2019</v>
      </c>
      <c r="C49" s="34">
        <f>IF(B49=0,0,IF(B49="Avant 2019",2,1))</f>
        <v>2</v>
      </c>
      <c r="D49" s="34" t="s">
        <v>1006</v>
      </c>
    </row>
    <row r="50" spans="1:11" x14ac:dyDescent="0.25">
      <c r="A50" s="365" t="s">
        <v>1007</v>
      </c>
      <c r="B50">
        <v>140</v>
      </c>
      <c r="D50" s="34" t="s">
        <v>1008</v>
      </c>
    </row>
    <row r="51" spans="1:11" ht="15.75" thickBot="1" x14ac:dyDescent="0.3">
      <c r="A51" s="365" t="s">
        <v>1009</v>
      </c>
      <c r="B51">
        <v>80</v>
      </c>
      <c r="D51" s="34" t="s">
        <v>1010</v>
      </c>
      <c r="G51" s="1124">
        <f>G52/B50</f>
        <v>0</v>
      </c>
      <c r="H51" s="1124">
        <f>H52/B51</f>
        <v>0</v>
      </c>
    </row>
    <row r="52" spans="1:11" x14ac:dyDescent="0.25">
      <c r="A52" s="365" t="s">
        <v>993</v>
      </c>
      <c r="B52">
        <f>'2. VOS DONNEES'!E6</f>
        <v>0</v>
      </c>
      <c r="E52" s="392" t="s">
        <v>1011</v>
      </c>
      <c r="F52" s="392"/>
      <c r="G52" s="245">
        <f>IF(AND(B52&gt;=0,B52&lt;=50),B52*$B$50,IF(B52&gt;50,50*$B$50))</f>
        <v>0</v>
      </c>
      <c r="H52" s="57">
        <f>IF(AND(B52&gt;50,B52&lt;=100),(B52-50)*$B$51,IF(B52&gt;100,50*$B$51,0))</f>
        <v>0</v>
      </c>
      <c r="I52" s="299">
        <f>H52+G52</f>
        <v>0</v>
      </c>
    </row>
    <row r="53" spans="1:11" ht="45.75" thickBot="1" x14ac:dyDescent="0.3">
      <c r="A53" s="404" t="s">
        <v>973</v>
      </c>
      <c r="B53" s="404" t="s">
        <v>1012</v>
      </c>
      <c r="C53" s="404" t="s">
        <v>973</v>
      </c>
      <c r="D53" s="404" t="s">
        <v>1013</v>
      </c>
      <c r="E53" s="405" t="s">
        <v>996</v>
      </c>
      <c r="F53" s="406" t="s">
        <v>1014</v>
      </c>
      <c r="G53" s="394" t="s">
        <v>1015</v>
      </c>
      <c r="H53" s="395" t="s">
        <v>1016</v>
      </c>
      <c r="I53" s="396" t="s">
        <v>452</v>
      </c>
      <c r="J53" s="407" t="s">
        <v>1017</v>
      </c>
    </row>
    <row r="54" spans="1:11" ht="15.6" customHeight="1" x14ac:dyDescent="0.25">
      <c r="A54" s="33">
        <f>'2. VOS DONNEES'!A23</f>
        <v>0</v>
      </c>
      <c r="B54" s="33">
        <f>IF($B$47="Oui",'2. VOS DONNEES'!B23,0)</f>
        <v>0</v>
      </c>
      <c r="C54" s="391" t="s">
        <v>1018</v>
      </c>
      <c r="D54" s="391">
        <f>IF('2. VOS DONNEES'!G23="NON",1,0)*B54</f>
        <v>0</v>
      </c>
      <c r="E54" s="33">
        <f>'2. VOS DONNEES'!E23</f>
        <v>0</v>
      </c>
      <c r="F54" s="308">
        <f>IF(E54&lt;25,0,IF($A$60=0,0,IF($A$60=1,IF(B54=1,$B$52,0),IF($A$60&gt;=2,IF(B54=1,$B$52*(E54/100),0),0))))</f>
        <v>0</v>
      </c>
      <c r="G54" s="266">
        <f>IF(AND(F54&gt;=0,F54&lt;=50),F54*$B$50,IF(F54&gt;50,50*$B$50))</f>
        <v>0</v>
      </c>
      <c r="H54" s="266">
        <f>IF(AND(F54&gt;50,F54&lt;=100),(F54-50)*$B$51,IF(F54&gt;100,50*$B$51,0))</f>
        <v>0</v>
      </c>
      <c r="I54" s="266">
        <f>H54+G54</f>
        <v>0</v>
      </c>
      <c r="J54" s="511">
        <f t="shared" ref="J54:J59" si="17">IF(E54&gt;=25,IF($I$60&gt;$I$52,I54,IF(B54=1,$I$52/$B$60,0)),0)</f>
        <v>0</v>
      </c>
    </row>
    <row r="55" spans="1:11" ht="15.6" customHeight="1" x14ac:dyDescent="0.25">
      <c r="A55" s="33">
        <f>'2. VOS DONNEES'!A24</f>
        <v>0</v>
      </c>
      <c r="B55" s="33">
        <f>IF($B$47="Oui",'2. VOS DONNEES'!B24,0)</f>
        <v>0</v>
      </c>
      <c r="C55" s="391" t="s">
        <v>1019</v>
      </c>
      <c r="D55" s="391">
        <f>IF('2. VOS DONNEES'!G24="NON",1,0)*B55</f>
        <v>0</v>
      </c>
      <c r="E55" s="33">
        <f>'2. VOS DONNEES'!E24</f>
        <v>0</v>
      </c>
      <c r="F55" s="308">
        <f t="shared" ref="F55:F59" si="18">IF(E55&lt;25,0,IF($A$60=0,0,IF($A$60=1,IF(B55=1,$B$52,0),IF($A$60&gt;=2,IF(B55=1,$B$52*(E55/100),0),0))))</f>
        <v>0</v>
      </c>
      <c r="G55" s="308">
        <f>IF(AND(F55&gt;=0,F55&lt;=50),F55*$B$50,IF(F55&gt;50,50*$B$50))</f>
        <v>0</v>
      </c>
      <c r="H55" s="308">
        <f>IF(AND(F55&gt;50,F55&lt;=100),(F55-50)*$B$51,IF(F55&gt;100,50*$B$51,0))</f>
        <v>0</v>
      </c>
      <c r="I55" s="308">
        <f t="shared" ref="I55:I59" si="19">H55+G55</f>
        <v>0</v>
      </c>
      <c r="J55" s="511">
        <f t="shared" si="17"/>
        <v>0</v>
      </c>
    </row>
    <row r="56" spans="1:11" ht="15.6" customHeight="1" x14ac:dyDescent="0.25">
      <c r="A56" s="33">
        <f>'2. VOS DONNEES'!A25</f>
        <v>0</v>
      </c>
      <c r="B56" s="33">
        <f>IF($B$47="Oui",'2. VOS DONNEES'!B25,0)</f>
        <v>0</v>
      </c>
      <c r="C56" s="391" t="s">
        <v>1020</v>
      </c>
      <c r="D56" s="391">
        <f>IF('2. VOS DONNEES'!G25="NON",1,0)*B56</f>
        <v>0</v>
      </c>
      <c r="E56" s="33">
        <f>'2. VOS DONNEES'!E25</f>
        <v>0</v>
      </c>
      <c r="F56" s="308">
        <f t="shared" si="18"/>
        <v>0</v>
      </c>
      <c r="G56" s="308">
        <f t="shared" ref="G56:G59" si="20">IF(AND(F56&gt;=0,F56&lt;=50),F56*$B$50,IF(F56&gt;50,50*$B$50))</f>
        <v>0</v>
      </c>
      <c r="H56" s="308">
        <f t="shared" ref="H56:H59" si="21">IF(AND(F56&gt;50,F56&lt;=100),(F56-50)*$B$51,IF(F56&gt;100,50*$B$51,0))</f>
        <v>0</v>
      </c>
      <c r="I56" s="308">
        <f t="shared" si="19"/>
        <v>0</v>
      </c>
      <c r="J56" s="511">
        <f t="shared" si="17"/>
        <v>0</v>
      </c>
      <c r="K56" s="762"/>
    </row>
    <row r="57" spans="1:11" ht="15.6" customHeight="1" x14ac:dyDescent="0.25">
      <c r="A57" s="33">
        <f>'2. VOS DONNEES'!A26</f>
        <v>0</v>
      </c>
      <c r="B57" s="33">
        <f>IF($B$47="Oui",'2. VOS DONNEES'!B26,0)</f>
        <v>0</v>
      </c>
      <c r="C57" s="391" t="s">
        <v>1021</v>
      </c>
      <c r="D57" s="391">
        <f>IF('2. VOS DONNEES'!G26="NON",1,0)*B57</f>
        <v>0</v>
      </c>
      <c r="E57" s="33">
        <f>'2. VOS DONNEES'!E26</f>
        <v>0</v>
      </c>
      <c r="F57" s="308">
        <f t="shared" si="18"/>
        <v>0</v>
      </c>
      <c r="G57" s="308">
        <f t="shared" si="20"/>
        <v>0</v>
      </c>
      <c r="H57" s="308">
        <f t="shared" si="21"/>
        <v>0</v>
      </c>
      <c r="I57" s="308">
        <f t="shared" si="19"/>
        <v>0</v>
      </c>
      <c r="J57" s="511">
        <f t="shared" si="17"/>
        <v>0</v>
      </c>
    </row>
    <row r="58" spans="1:11" ht="15.6" customHeight="1" x14ac:dyDescent="0.25">
      <c r="A58" s="33">
        <f>'2. VOS DONNEES'!A27</f>
        <v>0</v>
      </c>
      <c r="B58" s="33">
        <f>IF($B$47="Oui",'2. VOS DONNEES'!B27,0)</f>
        <v>0</v>
      </c>
      <c r="C58" s="391" t="s">
        <v>1022</v>
      </c>
      <c r="D58" s="391">
        <f>IF('2. VOS DONNEES'!G27="NON",1,0)*B58</f>
        <v>0</v>
      </c>
      <c r="E58" s="33">
        <f>'2. VOS DONNEES'!E27</f>
        <v>0</v>
      </c>
      <c r="F58" s="308">
        <f t="shared" si="18"/>
        <v>0</v>
      </c>
      <c r="G58" s="308">
        <f t="shared" si="20"/>
        <v>0</v>
      </c>
      <c r="H58" s="308">
        <f t="shared" si="21"/>
        <v>0</v>
      </c>
      <c r="I58" s="308">
        <f t="shared" si="19"/>
        <v>0</v>
      </c>
      <c r="J58" s="511">
        <f t="shared" si="17"/>
        <v>0</v>
      </c>
    </row>
    <row r="59" spans="1:11" ht="15.6" customHeight="1" x14ac:dyDescent="0.25">
      <c r="A59" s="33">
        <f>'2. VOS DONNEES'!A28</f>
        <v>0</v>
      </c>
      <c r="B59" s="33">
        <f>IF($B$47="Oui",'2. VOS DONNEES'!B28,0)</f>
        <v>0</v>
      </c>
      <c r="C59" s="391" t="s">
        <v>1023</v>
      </c>
      <c r="D59" s="391">
        <f>IF('2. VOS DONNEES'!G28="NON",1,0)*B59</f>
        <v>0</v>
      </c>
      <c r="E59" s="33">
        <f>'2. VOS DONNEES'!E28</f>
        <v>0</v>
      </c>
      <c r="F59" s="308">
        <f t="shared" si="18"/>
        <v>0</v>
      </c>
      <c r="G59" s="308">
        <f t="shared" si="20"/>
        <v>0</v>
      </c>
      <c r="H59" s="308">
        <f t="shared" si="21"/>
        <v>0</v>
      </c>
      <c r="I59" s="308">
        <f t="shared" si="19"/>
        <v>0</v>
      </c>
      <c r="J59" s="511">
        <f t="shared" si="17"/>
        <v>0</v>
      </c>
    </row>
    <row r="60" spans="1:11" x14ac:dyDescent="0.25">
      <c r="A60" s="408">
        <f>SUM(A54:A59)</f>
        <v>0</v>
      </c>
      <c r="B60" s="408">
        <f>SUM(B54:B59)</f>
        <v>0</v>
      </c>
      <c r="C60" s="408"/>
      <c r="D60" s="408">
        <f>SUM(D54:D59)</f>
        <v>0</v>
      </c>
      <c r="E60" s="408">
        <f t="shared" ref="E60" si="22">SUM(E54:E59)</f>
        <v>0</v>
      </c>
      <c r="F60" s="408">
        <f t="shared" ref="F60" si="23">SUM(F54:F59)</f>
        <v>0</v>
      </c>
      <c r="G60" s="408">
        <f t="shared" ref="G60" si="24">SUM(G54:G59)</f>
        <v>0</v>
      </c>
      <c r="H60" s="408">
        <f t="shared" ref="H60" si="25">SUM(H54:H59)</f>
        <v>0</v>
      </c>
      <c r="I60" s="409">
        <f>SUM(I54:I59)</f>
        <v>0</v>
      </c>
      <c r="J60" s="409">
        <f>IF(D60&gt;=1,I52,IF(B47="Oui",IF(B48="Non",SUM(J54:J59),IF(C49=0,SUM(J54:J59),IF(C49=1,I52,0))),0))</f>
        <v>0</v>
      </c>
      <c r="K60" s="144" t="s">
        <v>988</v>
      </c>
    </row>
    <row r="63" spans="1:11" x14ac:dyDescent="0.25">
      <c r="F63" s="1124">
        <f>IF(J60&gt;I60,G51+H51,F60)</f>
        <v>0</v>
      </c>
    </row>
  </sheetData>
  <sheetProtection sheet="1" objects="1" scenarios="1"/>
  <mergeCells count="1">
    <mergeCell ref="M9:N9"/>
  </mergeCells>
  <pageMargins left="0.7" right="0.7" top="0.75" bottom="0.75" header="0.3" footer="0.3"/>
  <pageSetup paperSize="9"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B8D1610-7710-429C-9CA2-DD6F4DE7E54A}">
  <sheetPr codeName="Feuil20"/>
  <dimension ref="B1:E34"/>
  <sheetViews>
    <sheetView topLeftCell="A4" workbookViewId="0">
      <selection activeCell="E123" sqref="E123"/>
    </sheetView>
  </sheetViews>
  <sheetFormatPr baseColWidth="10" defaultColWidth="11.42578125" defaultRowHeight="15" x14ac:dyDescent="0.25"/>
  <cols>
    <col min="2" max="2" width="97.28515625" bestFit="1" customWidth="1"/>
    <col min="3" max="3" width="24" bestFit="1" customWidth="1"/>
    <col min="7" max="7" width="30.28515625" bestFit="1" customWidth="1"/>
  </cols>
  <sheetData>
    <row r="1" spans="2:5" ht="15.75" thickBot="1" x14ac:dyDescent="0.3"/>
    <row r="2" spans="2:5" ht="21.75" thickBot="1" x14ac:dyDescent="0.4">
      <c r="B2" s="680" t="s">
        <v>1024</v>
      </c>
      <c r="C2" s="681"/>
      <c r="D2" s="682"/>
    </row>
    <row r="3" spans="2:5" x14ac:dyDescent="0.25">
      <c r="B3" t="s">
        <v>1025</v>
      </c>
    </row>
    <row r="4" spans="2:5" x14ac:dyDescent="0.25">
      <c r="B4" s="33" t="s">
        <v>383</v>
      </c>
      <c r="C4" s="962" t="str">
        <f>'2. VOS DONNEES'!E300</f>
        <v>NON</v>
      </c>
    </row>
    <row r="5" spans="2:5" x14ac:dyDescent="0.25">
      <c r="B5" s="33" t="s">
        <v>1026</v>
      </c>
      <c r="C5" s="308">
        <f>'2. VOS DONNEES'!E301</f>
        <v>0</v>
      </c>
      <c r="E5" t="s">
        <v>1027</v>
      </c>
    </row>
    <row r="6" spans="2:5" x14ac:dyDescent="0.25">
      <c r="B6" s="33" t="s">
        <v>387</v>
      </c>
      <c r="C6" s="308">
        <f>'2. VOS DONNEES'!E302</f>
        <v>0</v>
      </c>
      <c r="D6" s="54"/>
      <c r="E6" t="s">
        <v>1028</v>
      </c>
    </row>
    <row r="7" spans="2:5" x14ac:dyDescent="0.25">
      <c r="B7" s="33" t="s">
        <v>389</v>
      </c>
      <c r="C7" s="308">
        <f>'2. VOS DONNEES'!E303</f>
        <v>0</v>
      </c>
      <c r="E7" t="s">
        <v>390</v>
      </c>
    </row>
    <row r="9" spans="2:5" ht="15.75" thickBot="1" x14ac:dyDescent="0.3"/>
    <row r="10" spans="2:5" ht="15.75" thickBot="1" x14ac:dyDescent="0.3">
      <c r="B10" s="6" t="s">
        <v>1029</v>
      </c>
      <c r="C10" s="56" t="s">
        <v>62</v>
      </c>
      <c r="D10" s="4" t="s">
        <v>642</v>
      </c>
    </row>
    <row r="11" spans="2:5" ht="15.75" thickBot="1" x14ac:dyDescent="0.3">
      <c r="B11" t="s">
        <v>1030</v>
      </c>
      <c r="C11" s="1070">
        <f>IF(C4="NON",0,1)</f>
        <v>0</v>
      </c>
      <c r="D11" t="s">
        <v>1031</v>
      </c>
    </row>
    <row r="12" spans="2:5" ht="15.75" thickBot="1" x14ac:dyDescent="0.3">
      <c r="B12" s="1066" t="s">
        <v>1032</v>
      </c>
      <c r="C12" s="308">
        <f>IF(C11=0,0,C7)</f>
        <v>0</v>
      </c>
      <c r="D12" s="556" t="s">
        <v>1033</v>
      </c>
    </row>
    <row r="13" spans="2:5" x14ac:dyDescent="0.25">
      <c r="B13" s="33" t="s">
        <v>1034</v>
      </c>
      <c r="C13" s="308">
        <f>IF(C12&lt;20,C12,20)</f>
        <v>0</v>
      </c>
    </row>
    <row r="14" spans="2:5" x14ac:dyDescent="0.25">
      <c r="B14" s="33" t="s">
        <v>1035</v>
      </c>
      <c r="C14" s="83">
        <v>50</v>
      </c>
      <c r="E14" t="s">
        <v>1036</v>
      </c>
    </row>
    <row r="15" spans="2:5" x14ac:dyDescent="0.25">
      <c r="B15" s="33" t="s">
        <v>1037</v>
      </c>
      <c r="C15" s="308">
        <f>C13*$C$14</f>
        <v>0</v>
      </c>
    </row>
    <row r="16" spans="2:5" x14ac:dyDescent="0.25">
      <c r="B16" s="33" t="s">
        <v>1038</v>
      </c>
      <c r="C16" s="33">
        <f>IF(C12&gt;75,55,C12-20)</f>
        <v>-20</v>
      </c>
    </row>
    <row r="17" spans="2:5" x14ac:dyDescent="0.25">
      <c r="B17" s="33" t="s">
        <v>1039</v>
      </c>
      <c r="C17" s="33">
        <v>30</v>
      </c>
      <c r="E17" t="s">
        <v>1040</v>
      </c>
    </row>
    <row r="18" spans="2:5" x14ac:dyDescent="0.25">
      <c r="B18" s="33" t="s">
        <v>1041</v>
      </c>
      <c r="C18" s="33">
        <f>C16*$C$17</f>
        <v>-600</v>
      </c>
    </row>
    <row r="19" spans="2:5" x14ac:dyDescent="0.25">
      <c r="B19" s="33" t="s">
        <v>452</v>
      </c>
      <c r="C19" s="33">
        <f>+C15+C18</f>
        <v>-600</v>
      </c>
      <c r="E19" t="s">
        <v>1042</v>
      </c>
    </row>
    <row r="20" spans="2:5" x14ac:dyDescent="0.25">
      <c r="B20" s="33"/>
      <c r="C20" s="33"/>
    </row>
    <row r="21" spans="2:5" x14ac:dyDescent="0.25">
      <c r="B21" s="33" t="s">
        <v>1043</v>
      </c>
      <c r="C21" s="33"/>
    </row>
    <row r="22" spans="2:5" x14ac:dyDescent="0.25">
      <c r="B22" s="33" t="str">
        <f t="shared" ref="B22:C24" si="0">B13</f>
        <v>Surface &lt;20Ha</v>
      </c>
      <c r="C22" s="308">
        <f t="shared" si="0"/>
        <v>0</v>
      </c>
    </row>
    <row r="23" spans="2:5" x14ac:dyDescent="0.25">
      <c r="B23" s="33" t="str">
        <f t="shared" si="0"/>
        <v>MONTANT UNITAIRE A € (Surface 0-20ha)</v>
      </c>
      <c r="C23" s="83">
        <f t="shared" si="0"/>
        <v>50</v>
      </c>
    </row>
    <row r="24" spans="2:5" x14ac:dyDescent="0.25">
      <c r="B24" s="33" t="str">
        <f t="shared" si="0"/>
        <v>MONTANT A PAYER (Surface &lt;20Ha)</v>
      </c>
      <c r="C24" s="308">
        <f t="shared" si="0"/>
        <v>0</v>
      </c>
    </row>
    <row r="25" spans="2:5" x14ac:dyDescent="0.25">
      <c r="B25" s="33" t="str">
        <f>B16</f>
        <v>Surface &gt;20Ha et &lt;75Ha</v>
      </c>
      <c r="C25" s="308">
        <f>IF(C16&lt;0,0,C16)</f>
        <v>0</v>
      </c>
    </row>
    <row r="26" spans="2:5" x14ac:dyDescent="0.25">
      <c r="B26" s="33" t="str">
        <f>B17</f>
        <v>MONTANT UNITAIRE B (Surface 20-75ha)</v>
      </c>
      <c r="C26" s="83">
        <f>C17</f>
        <v>30</v>
      </c>
    </row>
    <row r="27" spans="2:5" x14ac:dyDescent="0.25">
      <c r="B27" s="33" t="str">
        <f>B18</f>
        <v>MONTANT A PAYER (Surface &gt;20Ha et &lt;75ha)</v>
      </c>
      <c r="C27" s="308">
        <f>C25*C26</f>
        <v>0</v>
      </c>
    </row>
    <row r="28" spans="2:5" x14ac:dyDescent="0.25">
      <c r="B28" s="33" t="str">
        <f>B19</f>
        <v>TOTAL</v>
      </c>
      <c r="C28" s="308">
        <f>C24+C27</f>
        <v>0</v>
      </c>
    </row>
    <row r="29" spans="2:5" x14ac:dyDescent="0.25">
      <c r="B29" s="33"/>
      <c r="C29" s="33"/>
    </row>
    <row r="30" spans="2:5" x14ac:dyDescent="0.25">
      <c r="B30" s="33" t="s">
        <v>1044</v>
      </c>
      <c r="C30" s="33" t="str">
        <f>IF(C28&gt;=100,"PAS DE PLAFOND","PLAFOND ADMINISTRATIF")</f>
        <v>PLAFOND ADMINISTRATIF</v>
      </c>
      <c r="E30" t="s">
        <v>1045</v>
      </c>
    </row>
    <row r="31" spans="2:5" x14ac:dyDescent="0.25">
      <c r="B31" s="33" t="s">
        <v>1046</v>
      </c>
      <c r="C31" s="83">
        <f>IF(C30="PAS DE PLAFOND",1*C28,0)</f>
        <v>0</v>
      </c>
    </row>
    <row r="32" spans="2:5" x14ac:dyDescent="0.25">
      <c r="B32" s="33"/>
      <c r="C32" s="308"/>
    </row>
    <row r="33" spans="2:3" x14ac:dyDescent="0.25">
      <c r="B33" s="33"/>
      <c r="C33" s="33"/>
    </row>
    <row r="34" spans="2:3" x14ac:dyDescent="0.25">
      <c r="B34" s="33" t="s">
        <v>1047</v>
      </c>
      <c r="C34" s="83">
        <f>IF(C12&gt;75,20*50+55*30,IF(C12&gt;20,(C12-20)*30+50*20,C12*50))</f>
        <v>0</v>
      </c>
    </row>
  </sheetData>
  <sheetProtection sheet="1" objects="1" scenarios="1"/>
  <dataValidations count="1">
    <dataValidation type="list" allowBlank="1" showInputMessage="1" showErrorMessage="1" sqref="C4" xr:uid="{5BB6DA7C-2317-467F-A733-756DA81A1A9C}">
      <formula1>Code_ON</formula1>
    </dataValidation>
  </dataValidations>
  <pageMargins left="0.7" right="0.7" top="0.75" bottom="0.75" header="0.3" footer="0.3"/>
  <pageSetup paperSize="0" orientation="portrait" horizontalDpi="0" verticalDpi="0" copies="0"/>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SharedWithUsers xmlns="db7435c9-3aa2-4ddd-a3fd-7413ce4a853b">
      <UserInfo>
        <DisplayName>FAUX Philippe-François</DisplayName>
        <AccountId>42</AccountId>
        <AccountType/>
      </UserInfo>
    </SharedWithUsers>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559A65A2DD5DF44A80A654981849549B" ma:contentTypeVersion="6" ma:contentTypeDescription="Crée un document." ma:contentTypeScope="" ma:versionID="b2e570ce0506a3ada647612b8269f351">
  <xsd:schema xmlns:xsd="http://www.w3.org/2001/XMLSchema" xmlns:xs="http://www.w3.org/2001/XMLSchema" xmlns:p="http://schemas.microsoft.com/office/2006/metadata/properties" xmlns:ns2="c1a3df3e-33cb-4260-8132-609fc1ecef07" xmlns:ns3="db7435c9-3aa2-4ddd-a3fd-7413ce4a853b" targetNamespace="http://schemas.microsoft.com/office/2006/metadata/properties" ma:root="true" ma:fieldsID="c39732a1e350a11a525d865b247ca282" ns2:_="" ns3:_="">
    <xsd:import namespace="c1a3df3e-33cb-4260-8132-609fc1ecef07"/>
    <xsd:import namespace="db7435c9-3aa2-4ddd-a3fd-7413ce4a853b"/>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ServiceAutoKeyPoints" minOccurs="0"/>
                <xsd:element ref="ns2:MediaServiceKeyPoint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c1a3df3e-33cb-4260-8132-609fc1ecef0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2" nillable="true" ma:displayName="MediaServiceAutoKeyPoints" ma:hidden="true" ma:internalName="MediaServiceAutoKeyPoints" ma:readOnly="true">
      <xsd:simpleType>
        <xsd:restriction base="dms:Note"/>
      </xsd:simpleType>
    </xsd:element>
    <xsd:element name="MediaServiceKeyPoints" ma:index="13" nillable="true" ma:displayName="KeyPoints" ma:internalName="MediaServiceKeyPoint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db7435c9-3aa2-4ddd-a3fd-7413ce4a853b" elementFormDefault="qualified">
    <xsd:import namespace="http://schemas.microsoft.com/office/2006/documentManagement/types"/>
    <xsd:import namespace="http://schemas.microsoft.com/office/infopath/2007/PartnerControls"/>
    <xsd:element name="SharedWithUsers" ma:index="10" nillable="true" ma:displayName="Partagé avec"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Partagé avec dé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ype de contenu"/>
        <xsd:element ref="dc:title" minOccurs="0" maxOccurs="1" ma:index="4" ma:displayName="Titr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518460DD-A614-4BD3-BA74-F12B5A6E9C1D}">
  <ds:schemaRefs>
    <ds:schemaRef ds:uri="http://schemas.microsoft.com/sharepoint/v3/contenttype/forms"/>
  </ds:schemaRefs>
</ds:datastoreItem>
</file>

<file path=customXml/itemProps2.xml><?xml version="1.0" encoding="utf-8"?>
<ds:datastoreItem xmlns:ds="http://schemas.openxmlformats.org/officeDocument/2006/customXml" ds:itemID="{42313B47-29C3-4911-95ED-7B75D2C8B581}">
  <ds:schemaRefs>
    <ds:schemaRef ds:uri="http://schemas.microsoft.com/office/2006/metadata/properties"/>
    <ds:schemaRef ds:uri="http://schemas.microsoft.com/office/infopath/2007/PartnerControls"/>
    <ds:schemaRef ds:uri="89ad31ad-0090-4dc0-8488-677fd7e07340"/>
    <ds:schemaRef ds:uri="db7435c9-3aa2-4ddd-a3fd-7413ce4a853b"/>
  </ds:schemaRefs>
</ds:datastoreItem>
</file>

<file path=customXml/itemProps3.xml><?xml version="1.0" encoding="utf-8"?>
<ds:datastoreItem xmlns:ds="http://schemas.openxmlformats.org/officeDocument/2006/customXml" ds:itemID="{C9E373AB-7CBD-4920-9C54-20DD84D425D1}">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c1a3df3e-33cb-4260-8132-609fc1ecef07"/>
    <ds:schemaRef ds:uri="db7435c9-3aa2-4ddd-a3fd-7413ce4a853b"/>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26</vt:i4>
      </vt:variant>
      <vt:variant>
        <vt:lpstr>Plages nommées</vt:lpstr>
      </vt:variant>
      <vt:variant>
        <vt:i4>14</vt:i4>
      </vt:variant>
    </vt:vector>
  </HeadingPairs>
  <TitlesOfParts>
    <vt:vector size="40" baseType="lpstr">
      <vt:lpstr>1. INTRODUCTION</vt:lpstr>
      <vt:lpstr>2. VOS DONNEES</vt:lpstr>
      <vt:lpstr>3. VOS RESULTATS</vt:lpstr>
      <vt:lpstr>BIO</vt:lpstr>
      <vt:lpstr>Feuil1</vt:lpstr>
      <vt:lpstr>4. Code-Culture</vt:lpstr>
      <vt:lpstr>Référentiel_menu_déroulant</vt:lpstr>
      <vt:lpstr>CALCUL - ABR-AR-AJA</vt:lpstr>
      <vt:lpstr>CALCUL IZCS et IZCN</vt:lpstr>
      <vt:lpstr>CALCUL - SC</vt:lpstr>
      <vt:lpstr>CALCUL - SCP</vt:lpstr>
      <vt:lpstr>CALCUL - BCAE8</vt:lpstr>
      <vt:lpstr>CALCUL - ER ME</vt:lpstr>
      <vt:lpstr>CALCUL - ER CLS</vt:lpstr>
      <vt:lpstr>CALCUL - ER CFE</vt:lpstr>
      <vt:lpstr>CALCUL - ER PP</vt:lpstr>
      <vt:lpstr>CALCUL - MAEC AF</vt:lpstr>
      <vt:lpstr>CALCUL - MAEC CereP</vt:lpstr>
      <vt:lpstr>CALCUL - MAEC TENHERBEE</vt:lpstr>
      <vt:lpstr>CALCUL - MAEC PARCTOURNAMENAGEE</vt:lpstr>
      <vt:lpstr>CALCUL -  MAEC PHVB</vt:lpstr>
      <vt:lpstr>CALCUL - MAEC PNATURELLES</vt:lpstr>
      <vt:lpstr>CALCUL MAEC SOL</vt:lpstr>
      <vt:lpstr>CALCUL - MAEC RACES</vt:lpstr>
      <vt:lpstr>CALCUL MAEC-PDA</vt:lpstr>
      <vt:lpstr>CALCUL NATURA 2000 - AGRICOLE</vt:lpstr>
      <vt:lpstr>Annees</vt:lpstr>
      <vt:lpstr>Code_autres</vt:lpstr>
      <vt:lpstr>Code_Cereales</vt:lpstr>
      <vt:lpstr>Code_CMI</vt:lpstr>
      <vt:lpstr>Code_fruit</vt:lpstr>
      <vt:lpstr>Code_LegumFourrage</vt:lpstr>
      <vt:lpstr>Code_ON</vt:lpstr>
      <vt:lpstr>Code_Protea</vt:lpstr>
      <vt:lpstr>Code_SNP_TA</vt:lpstr>
      <vt:lpstr>Disp_CP</vt:lpstr>
      <vt:lpstr>Disp_PP</vt:lpstr>
      <vt:lpstr>SNAdmissible</vt:lpstr>
      <vt:lpstr>'3. VOS RESULTATS'!Zone_d_impression</vt:lpstr>
      <vt:lpstr>Référentiel_menu_déroulant!Zone_d_impression</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PEREZ RUIZ Alvaro</dc:creator>
  <cp:keywords/>
  <dc:description/>
  <cp:lastModifiedBy>PEREZ RUIZ Alvaro</cp:lastModifiedBy>
  <cp:revision/>
  <cp:lastPrinted>2023-03-09T11:43:28Z</cp:lastPrinted>
  <dcterms:created xsi:type="dcterms:W3CDTF">2022-11-07T07:26:08Z</dcterms:created>
  <dcterms:modified xsi:type="dcterms:W3CDTF">2023-04-25T09:15:38Z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97a477d1-147d-4e34-b5e3-7b26d2f44870_Enabled">
    <vt:lpwstr>true</vt:lpwstr>
  </property>
  <property fmtid="{D5CDD505-2E9C-101B-9397-08002B2CF9AE}" pid="3" name="MSIP_Label_97a477d1-147d-4e34-b5e3-7b26d2f44870_SetDate">
    <vt:lpwstr>2022-11-07T07:26:08Z</vt:lpwstr>
  </property>
  <property fmtid="{D5CDD505-2E9C-101B-9397-08002B2CF9AE}" pid="4" name="MSIP_Label_97a477d1-147d-4e34-b5e3-7b26d2f44870_Method">
    <vt:lpwstr>Standard</vt:lpwstr>
  </property>
  <property fmtid="{D5CDD505-2E9C-101B-9397-08002B2CF9AE}" pid="5" name="MSIP_Label_97a477d1-147d-4e34-b5e3-7b26d2f44870_Name">
    <vt:lpwstr>97a477d1-147d-4e34-b5e3-7b26d2f44870</vt:lpwstr>
  </property>
  <property fmtid="{D5CDD505-2E9C-101B-9397-08002B2CF9AE}" pid="6" name="MSIP_Label_97a477d1-147d-4e34-b5e3-7b26d2f44870_SiteId">
    <vt:lpwstr>1f816a84-7aa6-4a56-b22a-7b3452fa8681</vt:lpwstr>
  </property>
  <property fmtid="{D5CDD505-2E9C-101B-9397-08002B2CF9AE}" pid="7" name="MSIP_Label_97a477d1-147d-4e34-b5e3-7b26d2f44870_ActionId">
    <vt:lpwstr>32071776-4404-4aeb-9d07-d75eadaa1d69</vt:lpwstr>
  </property>
  <property fmtid="{D5CDD505-2E9C-101B-9397-08002B2CF9AE}" pid="8" name="MSIP_Label_97a477d1-147d-4e34-b5e3-7b26d2f44870_ContentBits">
    <vt:lpwstr>0</vt:lpwstr>
  </property>
  <property fmtid="{D5CDD505-2E9C-101B-9397-08002B2CF9AE}" pid="9" name="ContentTypeId">
    <vt:lpwstr>0x010100559A65A2DD5DF44A80A654981849549B</vt:lpwstr>
  </property>
</Properties>
</file>